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20" yWindow="-20" windowWidth="28860" windowHeight="17520" tabRatio="623"/>
  </bookViews>
  <sheets>
    <sheet name="SUMMARY" sheetId="6" r:id="rId1"/>
    <sheet name="Status Quo" sheetId="3" r:id="rId2"/>
    <sheet name="Excluders (1)" sheetId="7" r:id="rId3"/>
    <sheet name="Excluders (2)" sheetId="10" r:id="rId4"/>
    <sheet name="No Size Limit (1)" sheetId="8" r:id="rId5"/>
    <sheet name="No Size Limit (2)" sheetId="11" r:id="rId6"/>
    <sheet name="Reduce DMR (1)" sheetId="9" r:id="rId7"/>
    <sheet name="Reduce DMR (2)" sheetId="12" r:id="rId8"/>
    <sheet name="Proof of Concept" sheetId="1" r:id="rId9"/>
    <sheet name="Selectivities" sheetId="4" r:id="rId10"/>
    <sheet name="SAA" sheetId="5" r:id="rId11"/>
  </sheets>
  <definedNames>
    <definedName name="age" localSheetId="2">'Excluders (1)'!$K$3:$AI$3</definedName>
    <definedName name="age" localSheetId="3">'Excluders (2)'!$K$3:$AI$3</definedName>
    <definedName name="age" localSheetId="4">'No Size Limit (1)'!$K$3:$AI$3</definedName>
    <definedName name="age" localSheetId="5">'No Size Limit (2)'!$K$3:$AI$3</definedName>
    <definedName name="age" localSheetId="6">'Reduce DMR (1)'!$K$3:$AI$3</definedName>
    <definedName name="age" localSheetId="7">'Reduce DMR (2)'!$K$3:$AI$3</definedName>
    <definedName name="Age" localSheetId="10">SAA!$D$1:$AG$1</definedName>
    <definedName name="Age" localSheetId="9">Selectivities!$E$1:$AH$1</definedName>
    <definedName name="age" localSheetId="1">'Status Quo'!$K$3:$AI$3</definedName>
    <definedName name="age">'Proof of Concept'!$K$3:$AI$3</definedName>
    <definedName name="ah" localSheetId="2">'Excluders (1)'!$G$18:$G$20</definedName>
    <definedName name="ah" localSheetId="3">'Excluders (2)'!$G$18:$G$20</definedName>
    <definedName name="ah" localSheetId="4">'No Size Limit (1)'!$G$18:$G$20</definedName>
    <definedName name="ah" localSheetId="5">'No Size Limit (2)'!$G$18:$G$20</definedName>
    <definedName name="ah" localSheetId="6">'Reduce DMR (1)'!$G$18:$G$20</definedName>
    <definedName name="ah" localSheetId="7">'Reduce DMR (2)'!$G$18:$G$20</definedName>
    <definedName name="ah" localSheetId="9">Selectivities!$A$13:$A$18</definedName>
    <definedName name="ah" localSheetId="1">'Status Quo'!$G$18:$G$20</definedName>
    <definedName name="ah">'Proof of Concept'!$G$18:$G$20</definedName>
    <definedName name="avg_wt1" localSheetId="2">'Excluders (1)'!$B$60</definedName>
    <definedName name="avg_wt1" localSheetId="3">'Excluders (2)'!$B$60</definedName>
    <definedName name="avg_wt1" localSheetId="4">'No Size Limit (1)'!$B$60</definedName>
    <definedName name="avg_wt1" localSheetId="5">'No Size Limit (2)'!$B$60</definedName>
    <definedName name="avg_wt1" localSheetId="6">'Reduce DMR (1)'!$B$60</definedName>
    <definedName name="avg_wt1" localSheetId="7">'Reduce DMR (2)'!$B$60</definedName>
    <definedName name="avg_wt1">'Status Quo'!$B$60</definedName>
    <definedName name="avg_wt2" localSheetId="2">'Excluders (1)'!$B$61</definedName>
    <definedName name="avg_wt2" localSheetId="3">'Excluders (2)'!$B$61</definedName>
    <definedName name="avg_wt2" localSheetId="4">'No Size Limit (1)'!$B$61</definedName>
    <definedName name="avg_wt2" localSheetId="5">'No Size Limit (2)'!$B$61</definedName>
    <definedName name="avg_wt2" localSheetId="6">'Reduce DMR (1)'!$B$61</definedName>
    <definedName name="avg_wt2" localSheetId="7">'Reduce DMR (2)'!$B$61</definedName>
    <definedName name="avg_wt2">'Status Quo'!$B$61</definedName>
    <definedName name="avg_wt3" localSheetId="2">'Excluders (1)'!$B$62</definedName>
    <definedName name="avg_wt3" localSheetId="3">'Excluders (2)'!$B$62</definedName>
    <definedName name="avg_wt3" localSheetId="4">'No Size Limit (1)'!$B$62</definedName>
    <definedName name="avg_wt3" localSheetId="5">'No Size Limit (2)'!$B$62</definedName>
    <definedName name="avg_wt3" localSheetId="6">'Reduce DMR (1)'!$B$62</definedName>
    <definedName name="avg_wt3" localSheetId="7">'Reduce DMR (2)'!$B$62</definedName>
    <definedName name="avg_wt3">'Status Quo'!$B$62</definedName>
    <definedName name="Bo" localSheetId="2">'Excluders (1)'!$B$18</definedName>
    <definedName name="Bo" localSheetId="3">'Excluders (2)'!$B$18</definedName>
    <definedName name="Bo" localSheetId="4">'No Size Limit (1)'!$B$18</definedName>
    <definedName name="Bo" localSheetId="5">'No Size Limit (2)'!$B$18</definedName>
    <definedName name="Bo" localSheetId="6">'Reduce DMR (1)'!$B$18</definedName>
    <definedName name="Bo" localSheetId="7">'Reduce DMR (2)'!$B$18</definedName>
    <definedName name="Bo" localSheetId="1">'Status Quo'!$B$18</definedName>
    <definedName name="Bo">'Proof of Concept'!$B$18</definedName>
    <definedName name="daq21_" localSheetId="2">'Excluders (1)'!$K$38:$AI$38</definedName>
    <definedName name="daq21_" localSheetId="3">'Excluders (2)'!$K$38:$AI$38</definedName>
    <definedName name="daq21_" localSheetId="4">'No Size Limit (1)'!$K$38:$AI$38</definedName>
    <definedName name="daq21_" localSheetId="5">'No Size Limit (2)'!$K$38:$AI$38</definedName>
    <definedName name="daq21_" localSheetId="6">'Reduce DMR (1)'!$K$38:$AI$38</definedName>
    <definedName name="daq21_" localSheetId="7">'Reduce DMR (2)'!$K$38:$AI$38</definedName>
    <definedName name="daq21_" localSheetId="1">'Status Quo'!$K$38:$AI$38</definedName>
    <definedName name="daq21_">'Proof of Concept'!$K$38:$AI$38</definedName>
    <definedName name="dlz1_" localSheetId="2">'Excluders (1)'!$K$31:$AI$31</definedName>
    <definedName name="dlz1_" localSheetId="3">'Excluders (2)'!$K$31:$AI$31</definedName>
    <definedName name="dlz1_" localSheetId="4">'No Size Limit (1)'!$K$31:$AI$31</definedName>
    <definedName name="dlz1_" localSheetId="5">'No Size Limit (2)'!$K$31:$AI$31</definedName>
    <definedName name="dlz1_" localSheetId="6">'Reduce DMR (1)'!$K$31:$AI$31</definedName>
    <definedName name="dlz1_" localSheetId="7">'Reduce DMR (2)'!$K$31:$AI$31</definedName>
    <definedName name="dlz1_" localSheetId="1">'Status Quo'!$K$31:$AI$31</definedName>
    <definedName name="dlz1_">'Proof of Concept'!$K$31:$AI$31</definedName>
    <definedName name="dlz2_" localSheetId="2">'Excluders (1)'!$K$32:$AI$32</definedName>
    <definedName name="dlz2_" localSheetId="3">'Excluders (2)'!$K$32:$AI$32</definedName>
    <definedName name="dlz2_" localSheetId="4">'No Size Limit (1)'!$K$32:$AI$32</definedName>
    <definedName name="dlz2_" localSheetId="5">'No Size Limit (2)'!$K$32:$AI$32</definedName>
    <definedName name="dlz2_" localSheetId="6">'Reduce DMR (1)'!$K$32:$AI$32</definedName>
    <definedName name="dlz2_" localSheetId="7">'Reduce DMR (2)'!$K$32:$AI$32</definedName>
    <definedName name="dlz2_" localSheetId="1">'Status Quo'!$K$32:$AI$32</definedName>
    <definedName name="dlz2_">'Proof of Concept'!$K$32:$AI$32</definedName>
    <definedName name="dlz3_" localSheetId="2">'Excluders (1)'!$K$33:$AI$33</definedName>
    <definedName name="dlz3_" localSheetId="3">'Excluders (2)'!$K$33:$AI$33</definedName>
    <definedName name="dlz3_" localSheetId="4">'No Size Limit (1)'!$K$33:$AI$33</definedName>
    <definedName name="dlz3_" localSheetId="5">'No Size Limit (2)'!$K$33:$AI$33</definedName>
    <definedName name="dlz3_" localSheetId="6">'Reduce DMR (1)'!$K$33:$AI$33</definedName>
    <definedName name="dlz3_" localSheetId="7">'Reduce DMR (2)'!$K$33:$AI$33</definedName>
    <definedName name="dlz3_" localSheetId="1">'Status Quo'!$K$33:$AI$33</definedName>
    <definedName name="dlz3_">'Proof of Concept'!$K$33:$AI$33</definedName>
    <definedName name="dmr" localSheetId="2">'Excluders (1)'!$F$18:$F$20</definedName>
    <definedName name="dmr" localSheetId="3">'Excluders (2)'!$F$18:$F$20</definedName>
    <definedName name="dmr" localSheetId="4">'No Size Limit (1)'!$F$18:$F$20</definedName>
    <definedName name="dmr" localSheetId="5">'No Size Limit (2)'!$F$18:$F$20</definedName>
    <definedName name="dmr" localSheetId="6">'Reduce DMR (1)'!$F$18:$F$20</definedName>
    <definedName name="dmr" localSheetId="7">'Reduce DMR (2)'!$F$18:$F$20</definedName>
    <definedName name="dmr" localSheetId="1">'Status Quo'!$F$18:$F$20</definedName>
    <definedName name="dmr">'Proof of Concept'!$F$18:$F$20</definedName>
    <definedName name="dphif" localSheetId="2">'Excluders (1)'!$G$31:$G$33</definedName>
    <definedName name="dphif" localSheetId="3">'Excluders (2)'!$G$31:$G$33</definedName>
    <definedName name="dphif" localSheetId="4">'No Size Limit (1)'!$G$31:$G$33</definedName>
    <definedName name="dphif" localSheetId="5">'No Size Limit (2)'!$G$31:$G$33</definedName>
    <definedName name="dphif" localSheetId="8">'Proof of Concept'!$G$31:$G$33</definedName>
    <definedName name="dphif" localSheetId="6">'Reduce DMR (1)'!$G$31:$G$33</definedName>
    <definedName name="dphif" localSheetId="7">'Reduce DMR (2)'!$G$31:$G$33</definedName>
    <definedName name="dphif" localSheetId="1">'Status Quo'!$G$31:$G$33</definedName>
    <definedName name="dqa1_" localSheetId="2">'Excluders (1)'!$K$35:$AI$35</definedName>
    <definedName name="dqa1_" localSheetId="3">'Excluders (2)'!$K$35:$AI$35</definedName>
    <definedName name="dqa1_" localSheetId="4">'No Size Limit (1)'!$K$35:$AI$35</definedName>
    <definedName name="dqa1_" localSheetId="5">'No Size Limit (2)'!$K$35:$AI$35</definedName>
    <definedName name="dqa1_" localSheetId="6">'Reduce DMR (1)'!$K$35:$AI$35</definedName>
    <definedName name="dqa1_" localSheetId="7">'Reduce DMR (2)'!$K$35:$AI$35</definedName>
    <definedName name="dqa1_" localSheetId="1">'Status Quo'!$K$35:$AI$35</definedName>
    <definedName name="dqa1_">'Proof of Concept'!$K$35:$AI$35</definedName>
    <definedName name="dqa11_" localSheetId="2">'Excluders (1)'!$K$35:$AI$35</definedName>
    <definedName name="dqa11_" localSheetId="3">'Excluders (2)'!$K$35:$AI$35</definedName>
    <definedName name="dqa11_" localSheetId="4">'No Size Limit (1)'!$K$35:$AI$35</definedName>
    <definedName name="dqa11_" localSheetId="5">'No Size Limit (2)'!$K$35:$AI$35</definedName>
    <definedName name="dqa11_" localSheetId="6">'Reduce DMR (1)'!$K$35:$AI$35</definedName>
    <definedName name="dqa11_" localSheetId="7">'Reduce DMR (2)'!$K$35:$AI$35</definedName>
    <definedName name="dqa11_" localSheetId="1">'Status Quo'!$K$35:$AI$35</definedName>
    <definedName name="dqa11_">'Proof of Concept'!$K$35:$AI$35</definedName>
    <definedName name="dqa12_" localSheetId="2">'Excluders (1)'!$K$40:$AI$40</definedName>
    <definedName name="dqa12_" localSheetId="3">'Excluders (2)'!$K$40:$AI$40</definedName>
    <definedName name="dqa12_" localSheetId="4">'No Size Limit (1)'!$K$40:$AI$40</definedName>
    <definedName name="dqa12_" localSheetId="5">'No Size Limit (2)'!$K$40:$AI$40</definedName>
    <definedName name="dqa12_" localSheetId="6">'Reduce DMR (1)'!$K$40:$AI$40</definedName>
    <definedName name="dqa12_" localSheetId="7">'Reduce DMR (2)'!$K$40:$AI$40</definedName>
    <definedName name="dqa12_" localSheetId="1">'Status Quo'!$K$40:$AI$40</definedName>
    <definedName name="dqa12_">'Proof of Concept'!$K$40:$AI$40</definedName>
    <definedName name="dqa13_" localSheetId="2">'Excluders (1)'!$K$42:$AI$42</definedName>
    <definedName name="dqa13_" localSheetId="3">'Excluders (2)'!$K$42:$AI$42</definedName>
    <definedName name="dqa13_" localSheetId="4">'No Size Limit (1)'!$K$42:$AI$42</definedName>
    <definedName name="dqa13_" localSheetId="5">'No Size Limit (2)'!$K$42:$AI$42</definedName>
    <definedName name="dqa13_" localSheetId="6">'Reduce DMR (1)'!$K$42:$AI$42</definedName>
    <definedName name="dqa13_" localSheetId="7">'Reduce DMR (2)'!$K$42:$AI$42</definedName>
    <definedName name="dqa13_" localSheetId="1">'Status Quo'!$K$42:$AI$42</definedName>
    <definedName name="dqa13_">'Proof of Concept'!$K$42:$AI$42</definedName>
    <definedName name="dqa2_" localSheetId="2">'Excluders (1)'!$K$36:$AI$36</definedName>
    <definedName name="dqa2_" localSheetId="3">'Excluders (2)'!$K$36:$AI$36</definedName>
    <definedName name="dqa2_" localSheetId="4">'No Size Limit (1)'!$K$36:$AI$36</definedName>
    <definedName name="dqa2_" localSheetId="5">'No Size Limit (2)'!$K$36:$AI$36</definedName>
    <definedName name="dqa2_" localSheetId="6">'Reduce DMR (1)'!$K$36:$AI$36</definedName>
    <definedName name="dqa2_" localSheetId="7">'Reduce DMR (2)'!$K$36:$AI$36</definedName>
    <definedName name="dqa2_" localSheetId="1">'Status Quo'!$K$36:$AI$36</definedName>
    <definedName name="dqa2_">'Proof of Concept'!$K$36:$AI$36</definedName>
    <definedName name="dqa21_" localSheetId="2">'Excluders (1)'!$K$38:$AI$38</definedName>
    <definedName name="dqa21_" localSheetId="3">'Excluders (2)'!$K$38:$AI$38</definedName>
    <definedName name="dqa21_" localSheetId="4">'No Size Limit (1)'!$K$38:$AI$38</definedName>
    <definedName name="dqa21_" localSheetId="5">'No Size Limit (2)'!$K$38:$AI$38</definedName>
    <definedName name="dqa21_" localSheetId="6">'Reduce DMR (1)'!$K$38:$AI$38</definedName>
    <definedName name="dqa21_" localSheetId="7">'Reduce DMR (2)'!$K$38:$AI$38</definedName>
    <definedName name="dqa21_" localSheetId="1">'Status Quo'!$K$38:$AI$38</definedName>
    <definedName name="dqa21_">'Proof of Concept'!$K$38:$AI$38</definedName>
    <definedName name="dqa22_" localSheetId="2">'Excluders (1)'!$K$36:$AI$36</definedName>
    <definedName name="dqa22_" localSheetId="3">'Excluders (2)'!$K$36:$AI$36</definedName>
    <definedName name="dqa22_" localSheetId="4">'No Size Limit (1)'!$K$36:$AI$36</definedName>
    <definedName name="dqa22_" localSheetId="5">'No Size Limit (2)'!$K$36:$AI$36</definedName>
    <definedName name="dqa22_" localSheetId="6">'Reduce DMR (1)'!$K$36:$AI$36</definedName>
    <definedName name="dqa22_" localSheetId="7">'Reduce DMR (2)'!$K$36:$AI$36</definedName>
    <definedName name="dqa22_" localSheetId="1">'Status Quo'!$K$36:$AI$36</definedName>
    <definedName name="dqa22_">'Proof of Concept'!$K$36:$AI$36</definedName>
    <definedName name="dqa23_" localSheetId="2">'Excluders (1)'!$K$43:$AI$43</definedName>
    <definedName name="dqa23_" localSheetId="3">'Excluders (2)'!$K$43:$AI$43</definedName>
    <definedName name="dqa23_" localSheetId="4">'No Size Limit (1)'!$K$43:$AI$43</definedName>
    <definedName name="dqa23_" localSheetId="5">'No Size Limit (2)'!$K$43:$AI$43</definedName>
    <definedName name="dqa23_" localSheetId="6">'Reduce DMR (1)'!$K$43:$AI$43</definedName>
    <definedName name="dqa23_" localSheetId="7">'Reduce DMR (2)'!$K$43:$AI$43</definedName>
    <definedName name="dqa23_" localSheetId="1">'Status Quo'!$K$43:$AI$43</definedName>
    <definedName name="dqa23_">'Proof of Concept'!$K$43:$AI$43</definedName>
    <definedName name="dqa3_" localSheetId="2">'Excluders (1)'!$K$37:$AI$37</definedName>
    <definedName name="dqa3_" localSheetId="3">'Excluders (2)'!$K$37:$AI$37</definedName>
    <definedName name="dqa3_" localSheetId="4">'No Size Limit (1)'!$K$37:$AI$37</definedName>
    <definedName name="dqa3_" localSheetId="5">'No Size Limit (2)'!$K$37:$AI$37</definedName>
    <definedName name="dqa3_" localSheetId="6">'Reduce DMR (1)'!$K$37:$AI$37</definedName>
    <definedName name="dqa3_" localSheetId="7">'Reduce DMR (2)'!$K$37:$AI$37</definedName>
    <definedName name="dqa3_" localSheetId="1">'Status Quo'!$K$37:$AI$37</definedName>
    <definedName name="dqa3_">'Proof of Concept'!$K$37:$AI$37</definedName>
    <definedName name="dqa31_" localSheetId="2">'Excluders (1)'!$K$39:$AI$39</definedName>
    <definedName name="dqa31_" localSheetId="3">'Excluders (2)'!$K$39:$AI$39</definedName>
    <definedName name="dqa31_" localSheetId="4">'No Size Limit (1)'!$K$39:$AI$39</definedName>
    <definedName name="dqa31_" localSheetId="5">'No Size Limit (2)'!$K$39:$AI$39</definedName>
    <definedName name="dqa31_" localSheetId="6">'Reduce DMR (1)'!$K$39:$AI$39</definedName>
    <definedName name="dqa31_" localSheetId="7">'Reduce DMR (2)'!$K$39:$AI$39</definedName>
    <definedName name="dqa31_" localSheetId="1">'Status Quo'!$K$39:$AI$39</definedName>
    <definedName name="dqa31_">'Proof of Concept'!$K$39:$AI$39</definedName>
    <definedName name="dqa32_" localSheetId="2">'Excluders (1)'!$K$41:$AI$41</definedName>
    <definedName name="dqa32_" localSheetId="3">'Excluders (2)'!$K$41:$AI$41</definedName>
    <definedName name="dqa32_" localSheetId="4">'No Size Limit (1)'!$K$41:$AI$41</definedName>
    <definedName name="dqa32_" localSheetId="5">'No Size Limit (2)'!$K$41:$AI$41</definedName>
    <definedName name="dqa32_" localSheetId="6">'Reduce DMR (1)'!$K$41:$AI$41</definedName>
    <definedName name="dqa32_" localSheetId="7">'Reduce DMR (2)'!$K$41:$AI$41</definedName>
    <definedName name="dqa32_" localSheetId="1">'Status Quo'!$K$41:$AI$41</definedName>
    <definedName name="dqa32_">'Proof of Concept'!$K$41:$AI$41</definedName>
    <definedName name="dqa33_" localSheetId="2">'Excluders (1)'!$K$37:$AI$37</definedName>
    <definedName name="dqa33_" localSheetId="3">'Excluders (2)'!$K$37:$AI$37</definedName>
    <definedName name="dqa33_" localSheetId="4">'No Size Limit (1)'!$K$37:$AI$37</definedName>
    <definedName name="dqa33_" localSheetId="5">'No Size Limit (2)'!$K$37:$AI$37</definedName>
    <definedName name="dqa33_" localSheetId="6">'Reduce DMR (1)'!$K$37:$AI$37</definedName>
    <definedName name="dqa33_" localSheetId="7">'Reduce DMR (2)'!$K$37:$AI$37</definedName>
    <definedName name="dqa33_" localSheetId="1">'Status Quo'!$K$37:$AI$37</definedName>
    <definedName name="dqa33_">'Proof of Concept'!$K$37:$AI$37</definedName>
    <definedName name="dre" localSheetId="2">'Excluders (1)'!$H$31:$H$33</definedName>
    <definedName name="dre" localSheetId="3">'Excluders (2)'!$H$31:$H$33</definedName>
    <definedName name="dre" localSheetId="4">'No Size Limit (1)'!$H$31:$H$33</definedName>
    <definedName name="dre" localSheetId="5">'No Size Limit (2)'!$H$31:$H$33</definedName>
    <definedName name="dre" localSheetId="6">'Reduce DMR (1)'!$H$31:$H$33</definedName>
    <definedName name="dre" localSheetId="7">'Reduce DMR (2)'!$H$31:$H$33</definedName>
    <definedName name="dre" localSheetId="1">'Status Quo'!$H$31:$H$33</definedName>
    <definedName name="dre">'Proof of Concept'!$H$31:$H$33</definedName>
    <definedName name="f1_" localSheetId="2">'Excluders (1)'!$B$27</definedName>
    <definedName name="f1_" localSheetId="3">'Excluders (2)'!$B$27</definedName>
    <definedName name="f1_" localSheetId="4">'No Size Limit (1)'!$B$27</definedName>
    <definedName name="f1_" localSheetId="5">'No Size Limit (2)'!$B$27</definedName>
    <definedName name="f1_" localSheetId="6">'Reduce DMR (1)'!$B$27</definedName>
    <definedName name="f1_" localSheetId="7">'Reduce DMR (2)'!$B$27</definedName>
    <definedName name="f1_" localSheetId="1">'Status Quo'!$B$27</definedName>
    <definedName name="f1_">'Proof of Concept'!$B$27</definedName>
    <definedName name="f2_" localSheetId="2">'Excluders (1)'!$B$28</definedName>
    <definedName name="f2_" localSheetId="3">'Excluders (2)'!$B$28</definedName>
    <definedName name="f2_" localSheetId="4">'No Size Limit (1)'!$B$28</definedName>
    <definedName name="f2_" localSheetId="5">'No Size Limit (2)'!$B$28</definedName>
    <definedName name="f2_" localSheetId="6">'Reduce DMR (1)'!$B$28</definedName>
    <definedName name="f2_" localSheetId="7">'Reduce DMR (2)'!$B$28</definedName>
    <definedName name="f2_" localSheetId="1">'Status Quo'!$B$28</definedName>
    <definedName name="f2_">'Proof of Concept'!$B$28</definedName>
    <definedName name="f3_" localSheetId="2">'Excluders (1)'!$B$29</definedName>
    <definedName name="f3_" localSheetId="3">'Excluders (2)'!$B$29</definedName>
    <definedName name="f3_" localSheetId="4">'No Size Limit (1)'!$B$29</definedName>
    <definedName name="f3_" localSheetId="5">'No Size Limit (2)'!$B$29</definedName>
    <definedName name="f3_" localSheetId="6">'Reduce DMR (1)'!$B$29</definedName>
    <definedName name="f3_" localSheetId="7">'Reduce DMR (2)'!$B$29</definedName>
    <definedName name="f3_" localSheetId="1">'Status Quo'!$B$29</definedName>
    <definedName name="f3_">'Proof of Concept'!$B$29</definedName>
    <definedName name="fbar" localSheetId="2">'Excluders (1)'!$B$30</definedName>
    <definedName name="fbar" localSheetId="3">'Excluders (2)'!$B$30</definedName>
    <definedName name="fbar" localSheetId="4">'No Size Limit (1)'!$B$30</definedName>
    <definedName name="fbar" localSheetId="5">'No Size Limit (2)'!$B$30</definedName>
    <definedName name="fbar" localSheetId="6">'Reduce DMR (1)'!$B$30</definedName>
    <definedName name="fbar" localSheetId="7">'Reduce DMR (2)'!$B$30</definedName>
    <definedName name="fbar" localSheetId="1">'Status Quo'!$B$30</definedName>
    <definedName name="fbar">'Proof of Concept'!$B$30</definedName>
    <definedName name="flt1_" localSheetId="2">'Excluders (1)'!$K$18:$AI$18</definedName>
    <definedName name="flt1_" localSheetId="3">'Excluders (2)'!$K$18:$AI$18</definedName>
    <definedName name="flt1_" localSheetId="4">'No Size Limit (1)'!$K$18:$AI$18</definedName>
    <definedName name="flt1_" localSheetId="5">'No Size Limit (2)'!$K$18:$AI$18</definedName>
    <definedName name="flt1_" localSheetId="6">'Reduce DMR (1)'!$K$18:$AI$18</definedName>
    <definedName name="flt1_" localSheetId="7">'Reduce DMR (2)'!$K$18:$AI$18</definedName>
    <definedName name="flt1_" localSheetId="1">'Status Quo'!$K$18:$AI$18</definedName>
    <definedName name="flt1_">'Proof of Concept'!$K$18:$AI$18</definedName>
    <definedName name="flt2_" localSheetId="2">'Excluders (1)'!$K$19:$AI$19</definedName>
    <definedName name="flt2_" localSheetId="3">'Excluders (2)'!$K$19:$AI$19</definedName>
    <definedName name="flt2_" localSheetId="4">'No Size Limit (1)'!$K$19:$AI$19</definedName>
    <definedName name="flt2_" localSheetId="5">'No Size Limit (2)'!$K$19:$AI$19</definedName>
    <definedName name="flt2_" localSheetId="6">'Reduce DMR (1)'!$K$19:$AI$19</definedName>
    <definedName name="flt2_" localSheetId="7">'Reduce DMR (2)'!$K$19:$AI$19</definedName>
    <definedName name="flt2_" localSheetId="1">'Status Quo'!$K$19:$AI$19</definedName>
    <definedName name="flt2_">'Proof of Concept'!$K$19:$AI$19</definedName>
    <definedName name="flt3_" localSheetId="2">'Excluders (1)'!$K$20:$AI$20</definedName>
    <definedName name="flt3_" localSheetId="3">'Excluders (2)'!$K$20:$AI$20</definedName>
    <definedName name="flt3_" localSheetId="4">'No Size Limit (1)'!$K$20:$AI$20</definedName>
    <definedName name="flt3_" localSheetId="5">'No Size Limit (2)'!$K$20:$AI$20</definedName>
    <definedName name="flt3_" localSheetId="6">'Reduce DMR (1)'!$K$20:$AI$20</definedName>
    <definedName name="flt3_" localSheetId="7">'Reduce DMR (2)'!$K$20:$AI$20</definedName>
    <definedName name="flt3_" localSheetId="1">'Status Quo'!$K$20:$AI$20</definedName>
    <definedName name="flt3_">'Proof of Concept'!$K$20:$AI$20</definedName>
    <definedName name="ftotal" localSheetId="2">'Excluders (1)'!$B$31</definedName>
    <definedName name="ftotal" localSheetId="3">'Excluders (2)'!$B$31</definedName>
    <definedName name="ftotal" localSheetId="4">'No Size Limit (1)'!$B$31</definedName>
    <definedName name="ftotal" localSheetId="5">'No Size Limit (2)'!$B$31</definedName>
    <definedName name="ftotal" localSheetId="6">'Reduce DMR (1)'!$B$31</definedName>
    <definedName name="ftotal" localSheetId="7">'Reduce DMR (2)'!$B$31</definedName>
    <definedName name="ftotal" localSheetId="1">'Status Quo'!$B$31</definedName>
    <definedName name="ftotal">#REF!</definedName>
    <definedName name="g" localSheetId="2">'Excluders (1)'!$I$18:$I$20</definedName>
    <definedName name="g" localSheetId="3">'Excluders (2)'!$I$18:$I$20</definedName>
    <definedName name="g" localSheetId="4">'No Size Limit (1)'!$I$18:$I$20</definedName>
    <definedName name="g" localSheetId="5">'No Size Limit (2)'!$I$18:$I$20</definedName>
    <definedName name="g" localSheetId="6">'Reduce DMR (1)'!$I$18:$I$20</definedName>
    <definedName name="g" localSheetId="7">'Reduce DMR (2)'!$I$18:$I$20</definedName>
    <definedName name="g" localSheetId="9">Selectivities!$C$13:$C$18</definedName>
    <definedName name="g" localSheetId="1">'Status Quo'!$I$18:$I$20</definedName>
    <definedName name="g">'Proof of Concept'!$I$18:$I$20</definedName>
    <definedName name="gamma" localSheetId="2">'Excluders (1)'!$I$18:$I$20</definedName>
    <definedName name="gamma" localSheetId="3">'Excluders (2)'!$I$18:$I$20</definedName>
    <definedName name="gamma" localSheetId="4">'No Size Limit (1)'!$I$18:$I$20</definedName>
    <definedName name="gamma" localSheetId="5">'No Size Limit (2)'!$I$18:$I$20</definedName>
    <definedName name="gamma" localSheetId="6">'Reduce DMR (1)'!$I$18:$I$20</definedName>
    <definedName name="gamma" localSheetId="7">'Reduce DMR (2)'!$I$18:$I$20</definedName>
    <definedName name="gamma" localSheetId="1">'Status Quo'!$I$18:$I$20</definedName>
    <definedName name="gamma">'Proof of Concept'!$I$18:$I$20</definedName>
    <definedName name="gh" localSheetId="2">'Excluders (1)'!$H$18:$H$20</definedName>
    <definedName name="gh" localSheetId="3">'Excluders (2)'!$H$18:$H$20</definedName>
    <definedName name="gh" localSheetId="4">'No Size Limit (1)'!$H$18:$H$20</definedName>
    <definedName name="gh" localSheetId="5">'No Size Limit (2)'!$H$18:$H$20</definedName>
    <definedName name="gh" localSheetId="6">'Reduce DMR (1)'!$H$18:$H$20</definedName>
    <definedName name="gh" localSheetId="7">'Reduce DMR (2)'!$H$18:$H$20</definedName>
    <definedName name="gh" localSheetId="9">Selectivities!$B$13:$B$18</definedName>
    <definedName name="gh" localSheetId="1">'Status Quo'!$H$18:$H$20</definedName>
    <definedName name="gh">'Proof of Concept'!$H$18:$H$20</definedName>
    <definedName name="k">SAA!$B$2</definedName>
    <definedName name="len" localSheetId="2">'Excluders (1)'!$K$4:$AI$4</definedName>
    <definedName name="len" localSheetId="3">'Excluders (2)'!$K$4:$AI$4</definedName>
    <definedName name="len" localSheetId="4">'No Size Limit (1)'!$K$4:$AI$4</definedName>
    <definedName name="len" localSheetId="5">'No Size Limit (2)'!$K$4:$AI$4</definedName>
    <definedName name="len" localSheetId="6">'Reduce DMR (1)'!$K$4:$AI$4</definedName>
    <definedName name="len" localSheetId="7">'Reduce DMR (2)'!$K$4:$AI$4</definedName>
    <definedName name="Len" localSheetId="9">Selectivities!$E$2:$AH$2</definedName>
    <definedName name="len" localSheetId="1">'Status Quo'!$K$4:$AI$4</definedName>
    <definedName name="len">'Proof of Concept'!$K$4:$AI$4</definedName>
    <definedName name="linf" localSheetId="2">'Excluders (1)'!$B$22</definedName>
    <definedName name="linf" localSheetId="3">'Excluders (2)'!$B$22</definedName>
    <definedName name="linf" localSheetId="4">'No Size Limit (1)'!$B$22</definedName>
    <definedName name="linf" localSheetId="5">'No Size Limit (2)'!$B$22</definedName>
    <definedName name="linf" localSheetId="6">'Reduce DMR (1)'!$B$22</definedName>
    <definedName name="linf" localSheetId="7">'Reduce DMR (2)'!$B$22</definedName>
    <definedName name="linf" localSheetId="10">SAA!$B$5</definedName>
    <definedName name="linf" localSheetId="1">'Status Quo'!$B$22</definedName>
    <definedName name="linf">'Proof of Concept'!$B$22</definedName>
    <definedName name="lx" localSheetId="2">'Excluders (1)'!$K$6:$AI$6</definedName>
    <definedName name="lx" localSheetId="3">'Excluders (2)'!$K$6:$AI$6</definedName>
    <definedName name="lx" localSheetId="4">'No Size Limit (1)'!$K$6:$AI$6</definedName>
    <definedName name="lx" localSheetId="5">'No Size Limit (2)'!$K$6:$AI$6</definedName>
    <definedName name="lx" localSheetId="6">'Reduce DMR (1)'!$K$6:$AI$6</definedName>
    <definedName name="lx" localSheetId="7">'Reduce DMR (2)'!$K$6:$AI$6</definedName>
    <definedName name="lx" localSheetId="1">'Status Quo'!$K$6:$AI$6</definedName>
    <definedName name="lx">'Proof of Concept'!$K$6:$AI$6</definedName>
    <definedName name="lz" localSheetId="2">'Excluders (1)'!$K$7:$AI$7</definedName>
    <definedName name="lz" localSheetId="3">'Excluders (2)'!$K$7:$AI$7</definedName>
    <definedName name="lz" localSheetId="4">'No Size Limit (1)'!$K$7:$AI$7</definedName>
    <definedName name="lz" localSheetId="5">'No Size Limit (2)'!$K$7:$AI$7</definedName>
    <definedName name="lz" localSheetId="6">'Reduce DMR (1)'!$K$7:$AI$7</definedName>
    <definedName name="lz" localSheetId="7">'Reduce DMR (2)'!$K$7:$AI$7</definedName>
    <definedName name="lz" localSheetId="1">'Status Quo'!$K$7:$AI$7</definedName>
    <definedName name="lz">'Proof of Concept'!$K$7:$AI$7</definedName>
    <definedName name="M" localSheetId="2">'Excluders (1)'!$B$20</definedName>
    <definedName name="M" localSheetId="3">'Excluders (2)'!$B$20</definedName>
    <definedName name="M" localSheetId="4">'No Size Limit (1)'!$B$20</definedName>
    <definedName name="M" localSheetId="5">'No Size Limit (2)'!$B$20</definedName>
    <definedName name="M" localSheetId="6">'Reduce DMR (1)'!$B$20</definedName>
    <definedName name="M" localSheetId="7">'Reduce DMR (2)'!$B$20</definedName>
    <definedName name="M" localSheetId="1">'Status Quo'!$B$20</definedName>
    <definedName name="M">'Proof of Concept'!$B$20</definedName>
    <definedName name="ma" localSheetId="2">'Excluders (1)'!$K$9:$AI$9</definedName>
    <definedName name="ma" localSheetId="3">'Excluders (2)'!$K$9:$AI$9</definedName>
    <definedName name="ma" localSheetId="4">'No Size Limit (1)'!$K$9:$AI$9</definedName>
    <definedName name="ma" localSheetId="5">'No Size Limit (2)'!$K$9:$AI$9</definedName>
    <definedName name="ma" localSheetId="6">'Reduce DMR (1)'!$K$9:$AI$9</definedName>
    <definedName name="ma" localSheetId="7">'Reduce DMR (2)'!$K$9:$AI$9</definedName>
    <definedName name="ma" localSheetId="1">'Status Quo'!$K$9:$AI$9</definedName>
    <definedName name="ma">'Proof of Concept'!$K$9:$AI$9</definedName>
    <definedName name="mpr1_" localSheetId="2">'Excluders (1)'!$B$56</definedName>
    <definedName name="mpr1_" localSheetId="3">'Excluders (2)'!$B$56</definedName>
    <definedName name="mpr1_" localSheetId="4">'No Size Limit (1)'!$B$56</definedName>
    <definedName name="mpr1_" localSheetId="5">'No Size Limit (2)'!$B$56</definedName>
    <definedName name="mpr1_" localSheetId="6">'Reduce DMR (1)'!$B$56</definedName>
    <definedName name="mpr1_" localSheetId="7">'Reduce DMR (2)'!$B$56</definedName>
    <definedName name="mpr1_" localSheetId="1">'Status Quo'!$B$56</definedName>
    <definedName name="mpr1_">'Proof of Concept'!$B$53</definedName>
    <definedName name="mpr2_" localSheetId="2">'Excluders (1)'!$B$57</definedName>
    <definedName name="mpr2_" localSheetId="3">'Excluders (2)'!$B$57</definedName>
    <definedName name="mpr2_" localSheetId="4">'No Size Limit (1)'!$B$57</definedName>
    <definedName name="mpr2_" localSheetId="5">'No Size Limit (2)'!$B$57</definedName>
    <definedName name="mpr2_" localSheetId="6">'Reduce DMR (1)'!$B$57</definedName>
    <definedName name="mpr2_" localSheetId="7">'Reduce DMR (2)'!$B$57</definedName>
    <definedName name="mpr2_" localSheetId="1">'Status Quo'!$B$57</definedName>
    <definedName name="mpr2_">'Proof of Concept'!$B$54</definedName>
    <definedName name="mpr3_" localSheetId="2">'Excluders (1)'!$B$58</definedName>
    <definedName name="mpr3_" localSheetId="3">'Excluders (2)'!$B$58</definedName>
    <definedName name="mpr3_" localSheetId="4">'No Size Limit (1)'!$B$58</definedName>
    <definedName name="mpr3_" localSheetId="5">'No Size Limit (2)'!$B$58</definedName>
    <definedName name="mpr3_" localSheetId="6">'Reduce DMR (1)'!$B$58</definedName>
    <definedName name="mpr3_" localSheetId="7">'Reduce DMR (2)'!$B$58</definedName>
    <definedName name="mpr3_" localSheetId="1">'Status Quo'!$B$58</definedName>
    <definedName name="mpr3_">'Proof of Concept'!$B$55</definedName>
    <definedName name="oa" localSheetId="2">'Excluders (1)'!$K$11:$AI$11</definedName>
    <definedName name="oa" localSheetId="3">'Excluders (2)'!$K$11:$AI$11</definedName>
    <definedName name="oa" localSheetId="4">'No Size Limit (1)'!$K$11:$AI$11</definedName>
    <definedName name="oa" localSheetId="5">'No Size Limit (2)'!$K$11:$AI$11</definedName>
    <definedName name="oa" localSheetId="6">'Reduce DMR (1)'!$K$11:$AI$11</definedName>
    <definedName name="oa" localSheetId="7">'Reduce DMR (2)'!$K$11:$AI$11</definedName>
    <definedName name="oa" localSheetId="1">'Status Quo'!$K$11:$AI$11</definedName>
    <definedName name="oa">'Proof of Concept'!$K$11:$AI$11</definedName>
    <definedName name="phi_q1" localSheetId="2">'Excluders (1)'!$B$39</definedName>
    <definedName name="phi_q1" localSheetId="3">'Excluders (2)'!$B$39</definedName>
    <definedName name="phi_q1" localSheetId="4">'No Size Limit (1)'!$B$39</definedName>
    <definedName name="phi_q1" localSheetId="5">'No Size Limit (2)'!$B$39</definedName>
    <definedName name="phi_q1" localSheetId="6">'Reduce DMR (1)'!$B$39</definedName>
    <definedName name="phi_q1" localSheetId="7">'Reduce DMR (2)'!$B$39</definedName>
    <definedName name="phi_q1" localSheetId="1">'Status Quo'!$B$39</definedName>
    <definedName name="phi_q1">'Proof of Concept'!$B$38</definedName>
    <definedName name="phi_q2" localSheetId="2">'Excluders (1)'!$B$40</definedName>
    <definedName name="phi_q2" localSheetId="3">'Excluders (2)'!$B$40</definedName>
    <definedName name="phi_q2" localSheetId="4">'No Size Limit (1)'!$B$40</definedName>
    <definedName name="phi_q2" localSheetId="5">'No Size Limit (2)'!$B$40</definedName>
    <definedName name="phi_q2" localSheetId="6">'Reduce DMR (1)'!$B$40</definedName>
    <definedName name="phi_q2" localSheetId="7">'Reduce DMR (2)'!$B$40</definedName>
    <definedName name="phi_q2" localSheetId="1">'Status Quo'!$B$40</definedName>
    <definedName name="phi_q2">'Proof of Concept'!$B$39</definedName>
    <definedName name="phi_q3" localSheetId="2">'Excluders (1)'!$B$41</definedName>
    <definedName name="phi_q3" localSheetId="3">'Excluders (2)'!$B$41</definedName>
    <definedName name="phi_q3" localSheetId="4">'No Size Limit (1)'!$B$41</definedName>
    <definedName name="phi_q3" localSheetId="5">'No Size Limit (2)'!$B$41</definedName>
    <definedName name="phi_q3" localSheetId="6">'Reduce DMR (1)'!$B$41</definedName>
    <definedName name="phi_q3" localSheetId="7">'Reduce DMR (2)'!$B$41</definedName>
    <definedName name="phi_q3" localSheetId="1">'Status Quo'!$B$41</definedName>
    <definedName name="phi_q3">'Proof of Concept'!$B$40</definedName>
    <definedName name="phi_t1" localSheetId="2">'Excluders (1)'!$B$36</definedName>
    <definedName name="phi_t1" localSheetId="3">'Excluders (2)'!$B$36</definedName>
    <definedName name="phi_t1" localSheetId="4">'No Size Limit (1)'!$B$36</definedName>
    <definedName name="phi_t1" localSheetId="5">'No Size Limit (2)'!$B$36</definedName>
    <definedName name="phi_t1" localSheetId="6">'Reduce DMR (1)'!$B$36</definedName>
    <definedName name="phi_t1" localSheetId="7">'Reduce DMR (2)'!$B$36</definedName>
    <definedName name="phi_t1" localSheetId="1">'Status Quo'!$B$36</definedName>
    <definedName name="phi_t1">'Proof of Concept'!$B$35</definedName>
    <definedName name="phi_t2" localSheetId="2">'Excluders (1)'!$B$37</definedName>
    <definedName name="phi_t2" localSheetId="3">'Excluders (2)'!$B$37</definedName>
    <definedName name="phi_t2" localSheetId="4">'No Size Limit (1)'!$B$37</definedName>
    <definedName name="phi_t2" localSheetId="5">'No Size Limit (2)'!$B$37</definedName>
    <definedName name="phi_t2" localSheetId="6">'Reduce DMR (1)'!$B$37</definedName>
    <definedName name="phi_t2" localSheetId="7">'Reduce DMR (2)'!$B$37</definedName>
    <definedName name="phi_t2" localSheetId="1">'Status Quo'!$B$37</definedName>
    <definedName name="phi_t2">'Proof of Concept'!$B$36</definedName>
    <definedName name="phi_t3" localSheetId="2">'Excluders (1)'!$B$38</definedName>
    <definedName name="phi_t3" localSheetId="3">'Excluders (2)'!$B$38</definedName>
    <definedName name="phi_t3" localSheetId="4">'No Size Limit (1)'!$B$38</definedName>
    <definedName name="phi_t3" localSheetId="5">'No Size Limit (2)'!$B$38</definedName>
    <definedName name="phi_t3" localSheetId="6">'Reduce DMR (1)'!$B$38</definedName>
    <definedName name="phi_t3" localSheetId="7">'Reduce DMR (2)'!$B$38</definedName>
    <definedName name="phi_t3" localSheetId="1">'Status Quo'!$B$38</definedName>
    <definedName name="phi_t3">'Proof of Concept'!$B$37</definedName>
    <definedName name="phib" localSheetId="3">'Excluders (2)'!$B$33</definedName>
    <definedName name="phib">'Excluders (1)'!$B$33</definedName>
    <definedName name="phie" localSheetId="2">'Excluders (1)'!$B$34</definedName>
    <definedName name="phie" localSheetId="3">'Excluders (2)'!$B$34</definedName>
    <definedName name="phie" localSheetId="4">'No Size Limit (1)'!$B$34</definedName>
    <definedName name="phie" localSheetId="5">'No Size Limit (2)'!$B$34</definedName>
    <definedName name="phie" localSheetId="6">'Reduce DMR (1)'!$B$34</definedName>
    <definedName name="phie" localSheetId="7">'Reduce DMR (2)'!$B$34</definedName>
    <definedName name="phie" localSheetId="1">'Status Quo'!$B$34</definedName>
    <definedName name="phie">'Proof of Concept'!$B$33</definedName>
    <definedName name="phif" localSheetId="2">'Excluders (1)'!$B$35</definedName>
    <definedName name="phif" localSheetId="3">'Excluders (2)'!$B$35</definedName>
    <definedName name="phif" localSheetId="4">'No Size Limit (1)'!$B$35</definedName>
    <definedName name="phif" localSheetId="5">'No Size Limit (2)'!$B$35</definedName>
    <definedName name="phif" localSheetId="6">'Reduce DMR (1)'!$B$35</definedName>
    <definedName name="phif" localSheetId="7">'Reduce DMR (2)'!$B$35</definedName>
    <definedName name="phif" localSheetId="1">'Status Quo'!$B$35</definedName>
    <definedName name="phif">'Proof of Concept'!$B$34</definedName>
    <definedName name="qa1_" localSheetId="2">'Excluders (1)'!$K$22:$AI$22</definedName>
    <definedName name="qa1_" localSheetId="3">'Excluders (2)'!$K$22:$AI$22</definedName>
    <definedName name="qa1_" localSheetId="4">'No Size Limit (1)'!$K$22:$AI$22</definedName>
    <definedName name="qa1_" localSheetId="5">'No Size Limit (2)'!$K$22:$AI$22</definedName>
    <definedName name="qa1_" localSheetId="6">'Reduce DMR (1)'!$K$22:$AI$22</definedName>
    <definedName name="qa1_" localSheetId="7">'Reduce DMR (2)'!$K$22:$AI$22</definedName>
    <definedName name="qa1_" localSheetId="1">'Status Quo'!$K$22:$AI$22</definedName>
    <definedName name="qa1_">'Proof of Concept'!$K$22:$AI$22</definedName>
    <definedName name="qa2_" localSheetId="2">'Excluders (1)'!$K$23:$AI$23</definedName>
    <definedName name="qa2_" localSheetId="3">'Excluders (2)'!$K$23:$AI$23</definedName>
    <definedName name="qa2_" localSheetId="4">'No Size Limit (1)'!$K$23:$AI$23</definedName>
    <definedName name="qa2_" localSheetId="5">'No Size Limit (2)'!$K$23:$AI$23</definedName>
    <definedName name="qa2_" localSheetId="6">'Reduce DMR (1)'!$K$23:$AI$23</definedName>
    <definedName name="qa2_" localSheetId="7">'Reduce DMR (2)'!$K$23:$AI$23</definedName>
    <definedName name="qa2_" localSheetId="1">'Status Quo'!$K$23:$AI$23</definedName>
    <definedName name="qa2_">'Proof of Concept'!$K$23:$AI$23</definedName>
    <definedName name="qa3_" localSheetId="2">'Excluders (1)'!$K$24:$AI$24</definedName>
    <definedName name="qa3_" localSheetId="3">'Excluders (2)'!$K$24:$AI$24</definedName>
    <definedName name="qa3_" localSheetId="4">'No Size Limit (1)'!$K$24:$AI$24</definedName>
    <definedName name="qa3_" localSheetId="5">'No Size Limit (2)'!$K$24:$AI$24</definedName>
    <definedName name="qa3_" localSheetId="6">'Reduce DMR (1)'!$K$24:$AI$24</definedName>
    <definedName name="qa3_" localSheetId="7">'Reduce DMR (2)'!$K$24:$AI$24</definedName>
    <definedName name="qa3_" localSheetId="1">'Status Quo'!$K$24:$AI$24</definedName>
    <definedName name="qa3_">'Proof of Concept'!$K$24:$AI$24</definedName>
    <definedName name="re" localSheetId="2">'Excluders (1)'!$B$47</definedName>
    <definedName name="re" localSheetId="3">'Excluders (2)'!$B$47</definedName>
    <definedName name="re" localSheetId="4">'No Size Limit (1)'!$B$47</definedName>
    <definedName name="re" localSheetId="5">'No Size Limit (2)'!$B$47</definedName>
    <definedName name="re" localSheetId="6">'Reduce DMR (1)'!$B$47</definedName>
    <definedName name="re" localSheetId="7">'Reduce DMR (2)'!$B$47</definedName>
    <definedName name="re" localSheetId="1">'Status Quo'!$B$47</definedName>
    <definedName name="re">'Proof of Concept'!$B$44</definedName>
    <definedName name="reck" localSheetId="2">'Excluders (1)'!$B$19</definedName>
    <definedName name="reck" localSheetId="3">'Excluders (2)'!$B$19</definedName>
    <definedName name="reck" localSheetId="4">'No Size Limit (1)'!$B$19</definedName>
    <definedName name="reck" localSheetId="5">'No Size Limit (2)'!$B$19</definedName>
    <definedName name="reck" localSheetId="6">'Reduce DMR (1)'!$B$19</definedName>
    <definedName name="reck" localSheetId="7">'Reduce DMR (2)'!$B$19</definedName>
    <definedName name="reck" localSheetId="1">'Status Quo'!$B$19</definedName>
    <definedName name="reck">'Proof of Concept'!$B$19</definedName>
    <definedName name="Ro" localSheetId="2">'Excluders (1)'!$B$21</definedName>
    <definedName name="Ro" localSheetId="3">'Excluders (2)'!$B$21</definedName>
    <definedName name="Ro" localSheetId="4">'No Size Limit (1)'!$B$21</definedName>
    <definedName name="Ro" localSheetId="5">'No Size Limit (2)'!$B$21</definedName>
    <definedName name="Ro" localSheetId="6">'Reduce DMR (1)'!$B$21</definedName>
    <definedName name="Ro" localSheetId="7">'Reduce DMR (2)'!$B$21</definedName>
    <definedName name="Ro" localSheetId="1">'Status Quo'!$B$21</definedName>
    <definedName name="Ro">'Proof of Concept'!$B$21</definedName>
    <definedName name="sa" localSheetId="2">'Excluders (1)'!$K$10:$AI$10</definedName>
    <definedName name="sa" localSheetId="3">'Excluders (2)'!$K$10:$AI$10</definedName>
    <definedName name="sa" localSheetId="4">'No Size Limit (1)'!$K$10:$AI$10</definedName>
    <definedName name="sa" localSheetId="5">'No Size Limit (2)'!$K$10:$AI$10</definedName>
    <definedName name="sa" localSheetId="6">'Reduce DMR (1)'!$K$10:$AI$10</definedName>
    <definedName name="sa" localSheetId="7">'Reduce DMR (2)'!$K$10:$AI$10</definedName>
    <definedName name="sa" localSheetId="1">'Status Quo'!$K$10:$AI$10</definedName>
    <definedName name="sa">'Proof of Concept'!$K$10:$AI$10</definedName>
    <definedName name="slim" localSheetId="2">'Excluders (1)'!$E$18:$E$20</definedName>
    <definedName name="slim" localSheetId="3">'Excluders (2)'!$E$18:$E$20</definedName>
    <definedName name="slim" localSheetId="4">'No Size Limit (1)'!$E$18:$E$20</definedName>
    <definedName name="slim" localSheetId="5">'No Size Limit (2)'!$E$18:$E$20</definedName>
    <definedName name="slim" localSheetId="6">'Reduce DMR (1)'!$E$18:$E$20</definedName>
    <definedName name="slim" localSheetId="7">'Reduce DMR (2)'!$E$18:$E$20</definedName>
    <definedName name="slim" localSheetId="1">'Status Quo'!$E$18:$E$20</definedName>
    <definedName name="slim">'Proof of Concept'!$E$18:$E$20</definedName>
    <definedName name="solver_adj" localSheetId="2" hidden="1">'Excluders (1)'!$B$30</definedName>
    <definedName name="solver_adj" localSheetId="3" hidden="1">'Excluders (2)'!$B$30</definedName>
    <definedName name="solver_adj" localSheetId="4" hidden="1">'No Size Limit (1)'!$B$30</definedName>
    <definedName name="solver_adj" localSheetId="5" hidden="1">'No Size Limit (2)'!$B$30</definedName>
    <definedName name="solver_adj" localSheetId="8" hidden="1">'Proof of Concept'!$B$27,'Proof of Concept'!$B$28,'Proof of Concept'!$B$29</definedName>
    <definedName name="solver_adj" localSheetId="6" hidden="1">'Reduce DMR (1)'!$B$30</definedName>
    <definedName name="solver_adj" localSheetId="7" hidden="1">'Reduce DMR (2)'!$B$30</definedName>
    <definedName name="solver_adj" localSheetId="10" hidden="1">SAA!$B$1,SAA!$B$2,SAA!$B$3</definedName>
    <definedName name="solver_adj" localSheetId="9" hidden="1">Selectivities!$A$13:$A$18,Selectivities!$B$13:$B$18,Selectivities!$C$13:$C$18</definedName>
    <definedName name="solver_adj" localSheetId="1" hidden="1">'Status Quo'!$B$30</definedName>
    <definedName name="solver_cvg" localSheetId="2" hidden="1">0.000001</definedName>
    <definedName name="solver_cvg" localSheetId="3" hidden="1">0.000001</definedName>
    <definedName name="solver_cvg" localSheetId="4" hidden="1">0.000001</definedName>
    <definedName name="solver_cvg" localSheetId="5" hidden="1">0.000001</definedName>
    <definedName name="solver_cvg" localSheetId="8" hidden="1">0.0001</definedName>
    <definedName name="solver_cvg" localSheetId="6" hidden="1">0.000001</definedName>
    <definedName name="solver_cvg" localSheetId="7" hidden="1">0.000001</definedName>
    <definedName name="solver_cvg" localSheetId="10" hidden="1">0.0001</definedName>
    <definedName name="solver_cvg" localSheetId="9" hidden="1">0.0001</definedName>
    <definedName name="solver_cvg" localSheetId="1" hidden="1">0.000001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8" hidden="1">1</definedName>
    <definedName name="solver_drv" localSheetId="6" hidden="1">1</definedName>
    <definedName name="solver_drv" localSheetId="7" hidden="1">1</definedName>
    <definedName name="solver_drv" localSheetId="10" hidden="1">1</definedName>
    <definedName name="solver_drv" localSheetId="9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8" hidden="1">1</definedName>
    <definedName name="solver_eng" localSheetId="6" hidden="1">1</definedName>
    <definedName name="solver_eng" localSheetId="7" hidden="1">1</definedName>
    <definedName name="solver_eng" localSheetId="10" hidden="1">1</definedName>
    <definedName name="solver_eng" localSheetId="9" hidden="1">1</definedName>
    <definedName name="solver_eng" localSheetId="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8" hidden="1">2147483647</definedName>
    <definedName name="solver_itr" localSheetId="6" hidden="1">2147483647</definedName>
    <definedName name="solver_itr" localSheetId="7" hidden="1">2147483647</definedName>
    <definedName name="solver_itr" localSheetId="10" hidden="1">2147483647</definedName>
    <definedName name="solver_itr" localSheetId="9" hidden="1">2147483647</definedName>
    <definedName name="solver_itr" localSheetId="1" hidden="1">2147483647</definedName>
    <definedName name="solver_lhs1" localSheetId="2" hidden="1">'Excluders (1)'!$B$30</definedName>
    <definedName name="solver_lhs1" localSheetId="3" hidden="1">'Excluders (2)'!$B$30</definedName>
    <definedName name="solver_lhs1" localSheetId="4" hidden="1">'No Size Limit (1)'!$B$30</definedName>
    <definedName name="solver_lhs1" localSheetId="5" hidden="1">'No Size Limit (2)'!$B$30</definedName>
    <definedName name="solver_lhs1" localSheetId="6" hidden="1">'Reduce DMR (1)'!$B$30</definedName>
    <definedName name="solver_lhs1" localSheetId="7" hidden="1">'Reduce DMR (2)'!$B$30</definedName>
    <definedName name="solver_lhs1" localSheetId="9" hidden="1">Selectivities!$C$13:$C$18</definedName>
    <definedName name="solver_lhs1" localSheetId="1" hidden="1">'Status Quo'!$B$30</definedName>
    <definedName name="solver_lhs2" localSheetId="2" hidden="1">'Excluders (1)'!$B$30</definedName>
    <definedName name="solver_lhs2" localSheetId="3" hidden="1">'Excluders (2)'!$B$30</definedName>
    <definedName name="solver_lhs2" localSheetId="4" hidden="1">'No Size Limit (1)'!$B$30</definedName>
    <definedName name="solver_lhs2" localSheetId="5" hidden="1">'No Size Limit (2)'!$B$30</definedName>
    <definedName name="solver_lhs2" localSheetId="6" hidden="1">'Reduce DMR (1)'!$B$30</definedName>
    <definedName name="solver_lhs2" localSheetId="7" hidden="1">'Reduce DMR (2)'!$B$30</definedName>
    <definedName name="solver_lhs2" localSheetId="9" hidden="1">Selectivities!$B$13:$B$17</definedName>
    <definedName name="solver_lhs2" localSheetId="1" hidden="1">'Status Quo'!$B$30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8" hidden="1">2</definedName>
    <definedName name="solver_lin" localSheetId="6" hidden="1">2</definedName>
    <definedName name="solver_lin" localSheetId="7" hidden="1">2</definedName>
    <definedName name="solver_lin" localSheetId="10" hidden="1">2</definedName>
    <definedName name="solver_lin" localSheetId="9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8" hidden="1">2147483647</definedName>
    <definedName name="solver_mip" localSheetId="6" hidden="1">2147483647</definedName>
    <definedName name="solver_mip" localSheetId="7" hidden="1">2147483647</definedName>
    <definedName name="solver_mip" localSheetId="10" hidden="1">2147483647</definedName>
    <definedName name="solver_mip" localSheetId="9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8" hidden="1">30</definedName>
    <definedName name="solver_mni" localSheetId="6" hidden="1">30</definedName>
    <definedName name="solver_mni" localSheetId="7" hidden="1">30</definedName>
    <definedName name="solver_mni" localSheetId="10" hidden="1">30</definedName>
    <definedName name="solver_mni" localSheetId="9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8" hidden="1">0.075</definedName>
    <definedName name="solver_mrt" localSheetId="6" hidden="1">0.075</definedName>
    <definedName name="solver_mrt" localSheetId="7" hidden="1">0.075</definedName>
    <definedName name="solver_mrt" localSheetId="10" hidden="1">0.075</definedName>
    <definedName name="solver_mrt" localSheetId="9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8" hidden="1">2</definedName>
    <definedName name="solver_msl" localSheetId="6" hidden="1">2</definedName>
    <definedName name="solver_msl" localSheetId="7" hidden="1">2</definedName>
    <definedName name="solver_msl" localSheetId="10" hidden="1">2</definedName>
    <definedName name="solver_msl" localSheetId="9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8" hidden="1">1</definedName>
    <definedName name="solver_neg" localSheetId="6" hidden="1">1</definedName>
    <definedName name="solver_neg" localSheetId="7" hidden="1">1</definedName>
    <definedName name="solver_neg" localSheetId="10" hidden="1">1</definedName>
    <definedName name="solver_neg" localSheetId="9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8" hidden="1">2147483647</definedName>
    <definedName name="solver_nod" localSheetId="6" hidden="1">2147483647</definedName>
    <definedName name="solver_nod" localSheetId="7" hidden="1">2147483647</definedName>
    <definedName name="solver_nod" localSheetId="10" hidden="1">2147483647</definedName>
    <definedName name="solver_nod" localSheetId="9" hidden="1">2147483647</definedName>
    <definedName name="solver_nod" localSheetId="1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8" hidden="1">0</definedName>
    <definedName name="solver_num" localSheetId="6" hidden="1">0</definedName>
    <definedName name="solver_num" localSheetId="7" hidden="1">0</definedName>
    <definedName name="solver_num" localSheetId="10" hidden="1">0</definedName>
    <definedName name="solver_num" localSheetId="9" hidden="1">1</definedName>
    <definedName name="solver_num" localSheetId="1" hidden="1">0</definedName>
    <definedName name="solver_opt" localSheetId="2" hidden="1">'Excluders (1)'!$C$15</definedName>
    <definedName name="solver_opt" localSheetId="3" hidden="1">'Excluders (2)'!$C$15</definedName>
    <definedName name="solver_opt" localSheetId="4" hidden="1">'No Size Limit (1)'!$C$15</definedName>
    <definedName name="solver_opt" localSheetId="5" hidden="1">'No Size Limit (2)'!$C$15</definedName>
    <definedName name="solver_opt" localSheetId="8" hidden="1">'Proof of Concept'!$C$15</definedName>
    <definedName name="solver_opt" localSheetId="6" hidden="1">'Reduce DMR (1)'!$C$15</definedName>
    <definedName name="solver_opt" localSheetId="7" hidden="1">'Reduce DMR (2)'!$C$15</definedName>
    <definedName name="solver_opt" localSheetId="10" hidden="1">SAA!$B$4</definedName>
    <definedName name="solver_opt" localSheetId="9" hidden="1">Selectivities!$B$1</definedName>
    <definedName name="solver_opt" localSheetId="1" hidden="1">'Status Quo'!$C$15</definedName>
    <definedName name="solver_pre" localSheetId="2" hidden="1">0.000000001</definedName>
    <definedName name="solver_pre" localSheetId="3" hidden="1">0.000000001</definedName>
    <definedName name="solver_pre" localSheetId="4" hidden="1">0.000000001</definedName>
    <definedName name="solver_pre" localSheetId="5" hidden="1">0.000000001</definedName>
    <definedName name="solver_pre" localSheetId="8" hidden="1">0.000000001</definedName>
    <definedName name="solver_pre" localSheetId="6" hidden="1">0.000000001</definedName>
    <definedName name="solver_pre" localSheetId="7" hidden="1">0.000000001</definedName>
    <definedName name="solver_pre" localSheetId="10" hidden="1">0.000001</definedName>
    <definedName name="solver_pre" localSheetId="9" hidden="1">0.000001</definedName>
    <definedName name="solver_pre" localSheetId="1" hidden="1">0.000000001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8" hidden="1">1</definedName>
    <definedName name="solver_rbv" localSheetId="6" hidden="1">2</definedName>
    <definedName name="solver_rbv" localSheetId="7" hidden="1">2</definedName>
    <definedName name="solver_rbv" localSheetId="10" hidden="1">1</definedName>
    <definedName name="solver_rbv" localSheetId="9" hidden="1">2</definedName>
    <definedName name="solver_rbv" localSheetId="1" hidden="1">2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9" hidden="1">3</definedName>
    <definedName name="solver_rel1" localSheetId="1" hidden="1">1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9" hidden="1">3</definedName>
    <definedName name="solver_rel2" localSheetId="1" hidden="1">3</definedName>
    <definedName name="solver_rhs1" localSheetId="2" hidden="1">2</definedName>
    <definedName name="solver_rhs1" localSheetId="3" hidden="1">2</definedName>
    <definedName name="solver_rhs1" localSheetId="4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9" hidden="1">0.00001</definedName>
    <definedName name="solver_rhs1" localSheetId="1" hidden="1">2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9" hidden="1">0.001</definedName>
    <definedName name="solver_rhs2" localSheetId="1" hidden="1">0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8" hidden="1">2</definedName>
    <definedName name="solver_rlx" localSheetId="6" hidden="1">2</definedName>
    <definedName name="solver_rlx" localSheetId="7" hidden="1">2</definedName>
    <definedName name="solver_rlx" localSheetId="10" hidden="1">2</definedName>
    <definedName name="solver_rlx" localSheetId="9" hidden="1">2</definedName>
    <definedName name="solver_rlx" localSheetId="1" hidden="1">2</definedName>
    <definedName name="solver_rsd" localSheetId="2" hidden="1">123</definedName>
    <definedName name="solver_rsd" localSheetId="3" hidden="1">123</definedName>
    <definedName name="solver_rsd" localSheetId="4" hidden="1">123</definedName>
    <definedName name="solver_rsd" localSheetId="5" hidden="1">123</definedName>
    <definedName name="solver_rsd" localSheetId="8" hidden="1">0</definedName>
    <definedName name="solver_rsd" localSheetId="6" hidden="1">123</definedName>
    <definedName name="solver_rsd" localSheetId="7" hidden="1">123</definedName>
    <definedName name="solver_rsd" localSheetId="10" hidden="1">0</definedName>
    <definedName name="solver_rsd" localSheetId="9" hidden="1">0</definedName>
    <definedName name="solver_rsd" localSheetId="1" hidden="1">123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8" hidden="1">1</definedName>
    <definedName name="solver_scl" localSheetId="6" hidden="1">1</definedName>
    <definedName name="solver_scl" localSheetId="7" hidden="1">1</definedName>
    <definedName name="solver_scl" localSheetId="10" hidden="1">1</definedName>
    <definedName name="solver_scl" localSheetId="9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8" hidden="1">2</definedName>
    <definedName name="solver_sho" localSheetId="6" hidden="1">2</definedName>
    <definedName name="solver_sho" localSheetId="7" hidden="1">2</definedName>
    <definedName name="solver_sho" localSheetId="10" hidden="1">2</definedName>
    <definedName name="solver_sho" localSheetId="9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8" hidden="1">100</definedName>
    <definedName name="solver_ssz" localSheetId="6" hidden="1">100</definedName>
    <definedName name="solver_ssz" localSheetId="7" hidden="1">100</definedName>
    <definedName name="solver_ssz" localSheetId="10" hidden="1">100</definedName>
    <definedName name="solver_ssz" localSheetId="9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8" hidden="1">2147483647</definedName>
    <definedName name="solver_tim" localSheetId="6" hidden="1">2147483647</definedName>
    <definedName name="solver_tim" localSheetId="7" hidden="1">2147483647</definedName>
    <definedName name="solver_tim" localSheetId="10" hidden="1">2147483647</definedName>
    <definedName name="solver_tim" localSheetId="9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8" hidden="1">0.01</definedName>
    <definedName name="solver_tol" localSheetId="6" hidden="1">0.01</definedName>
    <definedName name="solver_tol" localSheetId="7" hidden="1">0.01</definedName>
    <definedName name="solver_tol" localSheetId="10" hidden="1">0.01</definedName>
    <definedName name="solver_tol" localSheetId="9" hidden="1">0.01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8" hidden="1">2</definedName>
    <definedName name="solver_typ" localSheetId="6" hidden="1">2</definedName>
    <definedName name="solver_typ" localSheetId="7" hidden="1">2</definedName>
    <definedName name="solver_typ" localSheetId="10" hidden="1">2</definedName>
    <definedName name="solver_typ" localSheetId="9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8" hidden="1">0</definedName>
    <definedName name="solver_val" localSheetId="6" hidden="1">0</definedName>
    <definedName name="solver_val" localSheetId="7" hidden="1">0</definedName>
    <definedName name="solver_val" localSheetId="10" hidden="1">0</definedName>
    <definedName name="solver_val" localSheetId="9" hidden="1">0</definedName>
    <definedName name="solver_val" localSheetId="1" hidden="1">0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8" hidden="1">2</definedName>
    <definedName name="solver_ver" localSheetId="6" hidden="1">2</definedName>
    <definedName name="solver_ver" localSheetId="7" hidden="1">2</definedName>
    <definedName name="solver_ver" localSheetId="10" hidden="1">2</definedName>
    <definedName name="solver_ver" localSheetId="9" hidden="1">2</definedName>
    <definedName name="solver_ver" localSheetId="1" hidden="1">2</definedName>
    <definedName name="spr" localSheetId="2">'Excluders (1)'!$B$46</definedName>
    <definedName name="spr" localSheetId="3">'Excluders (2)'!$B$46</definedName>
    <definedName name="spr" localSheetId="4">'No Size Limit (1)'!$B$46</definedName>
    <definedName name="spr" localSheetId="5">'No Size Limit (2)'!$B$46</definedName>
    <definedName name="spr" localSheetId="6">'Reduce DMR (1)'!$B$46</definedName>
    <definedName name="spr" localSheetId="7">'Reduce DMR (2)'!$B$46</definedName>
    <definedName name="spr" localSheetId="1">'Status Quo'!$B$46</definedName>
    <definedName name="spr">'Proof of Concept'!$B$43</definedName>
    <definedName name="sr" localSheetId="2">'Excluders (1)'!$K$12:$AI$12</definedName>
    <definedName name="sr" localSheetId="3">'Excluders (2)'!$K$12:$AI$12</definedName>
    <definedName name="sr" localSheetId="4">'No Size Limit (1)'!$K$12:$AI$12</definedName>
    <definedName name="sr" localSheetId="5">'No Size Limit (2)'!$K$12:$AI$12</definedName>
    <definedName name="sr" localSheetId="6">'Reduce DMR (1)'!$K$12:$AI$12</definedName>
    <definedName name="sr" localSheetId="7">'Reduce DMR (2)'!$K$12:$AI$12</definedName>
    <definedName name="sr" localSheetId="1">'Status Quo'!$K$12:$AI$12</definedName>
    <definedName name="sr">'Proof of Concept'!$K$12:$AI$12</definedName>
    <definedName name="sr_1" localSheetId="2">'Excluders (1)'!$K$12:$AI$12</definedName>
    <definedName name="sr_1" localSheetId="3">'Excluders (2)'!$K$12:$AI$12</definedName>
    <definedName name="sr_1" localSheetId="4">'No Size Limit (1)'!$K$12:$AI$12</definedName>
    <definedName name="sr_1" localSheetId="5">'No Size Limit (2)'!$K$12:$AI$12</definedName>
    <definedName name="sr_1" localSheetId="6">'Reduce DMR (1)'!$K$12:$AI$12</definedName>
    <definedName name="sr_1" localSheetId="7">'Reduce DMR (2)'!$K$12:$AI$12</definedName>
    <definedName name="sr_1" localSheetId="1">'Status Quo'!$K$12:$AI$12</definedName>
    <definedName name="sr_1">#REF!</definedName>
    <definedName name="sr_2" localSheetId="2">'Excluders (1)'!$K$13:$AI$13</definedName>
    <definedName name="sr_2" localSheetId="3">'Excluders (2)'!$K$13:$AI$13</definedName>
    <definedName name="sr_2" localSheetId="4">'No Size Limit (1)'!$K$13:$AI$13</definedName>
    <definedName name="sr_2" localSheetId="5">'No Size Limit (2)'!$K$13:$AI$13</definedName>
    <definedName name="sr_2" localSheetId="6">'Reduce DMR (1)'!$K$13:$AI$13</definedName>
    <definedName name="sr_2" localSheetId="7">'Reduce DMR (2)'!$K$13:$AI$13</definedName>
    <definedName name="sr_2" localSheetId="1">'Status Quo'!$K$13:$AI$13</definedName>
    <definedName name="sr_2">#REF!</definedName>
    <definedName name="sr_3" localSheetId="2">'Excluders (1)'!$K$14:$AI$14</definedName>
    <definedName name="sr_3" localSheetId="3">'Excluders (2)'!$K$14:$AI$14</definedName>
    <definedName name="sr_3" localSheetId="4">'No Size Limit (1)'!$K$14:$AI$14</definedName>
    <definedName name="sr_3" localSheetId="5">'No Size Limit (2)'!$K$14:$AI$14</definedName>
    <definedName name="sr_3" localSheetId="6">'Reduce DMR (1)'!$K$14:$AI$14</definedName>
    <definedName name="sr_3" localSheetId="7">'Reduce DMR (2)'!$K$14:$AI$14</definedName>
    <definedName name="sr_3" localSheetId="1">'Status Quo'!$K$14:$AI$14</definedName>
    <definedName name="sr_3">#REF!</definedName>
    <definedName name="SS">SAA!$B$4</definedName>
    <definedName name="ta1_" localSheetId="2">'Excluders (1)'!$K$26:$AI$26</definedName>
    <definedName name="ta1_" localSheetId="3">'Excluders (2)'!$K$26:$AI$26</definedName>
    <definedName name="ta1_" localSheetId="4">'No Size Limit (1)'!$K$26:$AI$26</definedName>
    <definedName name="ta1_" localSheetId="5">'No Size Limit (2)'!$K$26:$AI$26</definedName>
    <definedName name="ta1_" localSheetId="6">'Reduce DMR (1)'!$K$26:$AI$26</definedName>
    <definedName name="ta1_" localSheetId="7">'Reduce DMR (2)'!$K$26:$AI$26</definedName>
    <definedName name="ta1_" localSheetId="1">'Status Quo'!$K$26:$AI$26</definedName>
    <definedName name="ta1_">'Proof of Concept'!$K$26:$AI$26</definedName>
    <definedName name="ta2_" localSheetId="2">'Excluders (1)'!$K$27:$AI$27</definedName>
    <definedName name="ta2_" localSheetId="3">'Excluders (2)'!$K$27:$AI$27</definedName>
    <definedName name="ta2_" localSheetId="4">'No Size Limit (1)'!$K$27:$AI$27</definedName>
    <definedName name="ta2_" localSheetId="5">'No Size Limit (2)'!$K$27:$AI$27</definedName>
    <definedName name="ta2_" localSheetId="6">'Reduce DMR (1)'!$K$27:$AI$27</definedName>
    <definedName name="ta2_" localSheetId="7">'Reduce DMR (2)'!$K$27:$AI$27</definedName>
    <definedName name="ta2_" localSheetId="1">'Status Quo'!$K$27:$AI$27</definedName>
    <definedName name="ta2_">'Proof of Concept'!$K$27:$AI$27</definedName>
    <definedName name="ta3_" localSheetId="2">'Excluders (1)'!$K$28:$AI$28</definedName>
    <definedName name="ta3_" localSheetId="3">'Excluders (2)'!$K$28:$AI$28</definedName>
    <definedName name="ta3_" localSheetId="4">'No Size Limit (1)'!$K$28:$AI$28</definedName>
    <definedName name="ta3_" localSheetId="5">'No Size Limit (2)'!$K$28:$AI$28</definedName>
    <definedName name="ta3_" localSheetId="6">'Reduce DMR (1)'!$K$28:$AI$28</definedName>
    <definedName name="ta3_" localSheetId="7">'Reduce DMR (2)'!$K$28:$AI$28</definedName>
    <definedName name="ta3_" localSheetId="1">'Status Quo'!$K$28:$AI$28</definedName>
    <definedName name="ta3_">'Proof of Concept'!$K$28:$AI$28</definedName>
    <definedName name="to" localSheetId="2">'Excluders (1)'!$B$24</definedName>
    <definedName name="to" localSheetId="3">'Excluders (2)'!$B$24</definedName>
    <definedName name="to" localSheetId="4">'No Size Limit (1)'!$B$24</definedName>
    <definedName name="to" localSheetId="5">'No Size Limit (2)'!$B$24</definedName>
    <definedName name="to" localSheetId="6">'Reduce DMR (1)'!$B$24</definedName>
    <definedName name="to" localSheetId="7">'Reduce DMR (2)'!$B$24</definedName>
    <definedName name="to" localSheetId="1">'Status Quo'!$B$24</definedName>
    <definedName name="to">SAA!$B$3</definedName>
    <definedName name="vonbk" localSheetId="2">'Excluders (1)'!$B$23</definedName>
    <definedName name="vonbk" localSheetId="3">'Excluders (2)'!$B$23</definedName>
    <definedName name="vonbk" localSheetId="4">'No Size Limit (1)'!$B$23</definedName>
    <definedName name="vonbk" localSheetId="5">'No Size Limit (2)'!$B$23</definedName>
    <definedName name="vonbk" localSheetId="6">'Reduce DMR (1)'!$B$23</definedName>
    <definedName name="vonbk" localSheetId="7">'Reduce DMR (2)'!$B$23</definedName>
    <definedName name="vonbk" localSheetId="1">'Status Quo'!$B$23</definedName>
    <definedName name="vonbk">'Proof of Concept'!$B$23</definedName>
    <definedName name="wa" localSheetId="2">'Excluders (1)'!$K$5:$AI$5</definedName>
    <definedName name="wa" localSheetId="3">'Excluders (2)'!$K$5:$AI$5</definedName>
    <definedName name="wa" localSheetId="4">'No Size Limit (1)'!$K$5:$AI$5</definedName>
    <definedName name="wa" localSheetId="5">'No Size Limit (2)'!$K$5:$AI$5</definedName>
    <definedName name="wa" localSheetId="6">'Reduce DMR (1)'!$K$5:$AI$5</definedName>
    <definedName name="wa" localSheetId="7">'Reduce DMR (2)'!$K$5:$AI$5</definedName>
    <definedName name="Wa" localSheetId="10">SAA!$D$2:$AG$2</definedName>
    <definedName name="wa" localSheetId="1">'Status Quo'!$K$5:$AI$5</definedName>
    <definedName name="wa">'Proof of Concept'!$K$5:$AI$5</definedName>
    <definedName name="Wa_hat">SAA!$D$3:$AG$3</definedName>
    <definedName name="winf">SAA!$B$1</definedName>
    <definedName name="ye_1" localSheetId="2">'Excluders (1)'!$B$48</definedName>
    <definedName name="ye_1" localSheetId="3">'Excluders (2)'!$B$48</definedName>
    <definedName name="ye_1" localSheetId="4">'No Size Limit (1)'!$B$48</definedName>
    <definedName name="ye_1" localSheetId="5">'No Size Limit (2)'!$B$48</definedName>
    <definedName name="ye_1" localSheetId="6">'Reduce DMR (1)'!$B$48</definedName>
    <definedName name="ye_1" localSheetId="7">'Reduce DMR (2)'!$B$48</definedName>
    <definedName name="ye_1" localSheetId="1">'Status Quo'!$B$48</definedName>
    <definedName name="ye_1">'Proof of Concept'!$B$45</definedName>
    <definedName name="ye_2" localSheetId="2">'Excluders (1)'!$B$49</definedName>
    <definedName name="ye_2" localSheetId="3">'Excluders (2)'!$B$49</definedName>
    <definedName name="ye_2" localSheetId="4">'No Size Limit (1)'!$B$49</definedName>
    <definedName name="ye_2" localSheetId="5">'No Size Limit (2)'!$B$49</definedName>
    <definedName name="ye_2" localSheetId="6">'Reduce DMR (1)'!$B$49</definedName>
    <definedName name="ye_2" localSheetId="7">'Reduce DMR (2)'!$B$49</definedName>
    <definedName name="ye_2" localSheetId="1">'Status Quo'!$B$49</definedName>
    <definedName name="ye_2">'Proof of Concept'!$B$46</definedName>
    <definedName name="ye_3" localSheetId="2">'Excluders (1)'!$B$50</definedName>
    <definedName name="ye_3" localSheetId="3">'Excluders (2)'!$B$50</definedName>
    <definedName name="ye_3" localSheetId="4">'No Size Limit (1)'!$B$50</definedName>
    <definedName name="ye_3" localSheetId="5">'No Size Limit (2)'!$B$50</definedName>
    <definedName name="ye_3" localSheetId="6">'Reduce DMR (1)'!$B$50</definedName>
    <definedName name="ye_3" localSheetId="7">'Reduce DMR (2)'!$B$50</definedName>
    <definedName name="ye_3" localSheetId="1">'Status Quo'!$B$50</definedName>
    <definedName name="ye_3">'Proof of Concept'!$B$47</definedName>
    <definedName name="ypr1" localSheetId="2">'Excluders (1)'!$B$53</definedName>
    <definedName name="ypr1" localSheetId="3">'Excluders (2)'!$B$53</definedName>
    <definedName name="ypr1" localSheetId="4">'No Size Limit (1)'!$B$53</definedName>
    <definedName name="ypr1" localSheetId="5">'No Size Limit (2)'!$B$53</definedName>
    <definedName name="ypr1" localSheetId="6">'Reduce DMR (1)'!$B$53</definedName>
    <definedName name="ypr1" localSheetId="7">'Reduce DMR (2)'!$B$53</definedName>
    <definedName name="ypr1" localSheetId="1">'Status Quo'!$B$53</definedName>
    <definedName name="ypr1">'Proof of Concept'!$B$50</definedName>
    <definedName name="ypr2" localSheetId="2">'Excluders (1)'!$B$54</definedName>
    <definedName name="ypr2" localSheetId="3">'Excluders (2)'!$B$54</definedName>
    <definedName name="ypr2" localSheetId="4">'No Size Limit (1)'!$B$54</definedName>
    <definedName name="ypr2" localSheetId="5">'No Size Limit (2)'!$B$54</definedName>
    <definedName name="ypr2" localSheetId="6">'Reduce DMR (1)'!$B$54</definedName>
    <definedName name="ypr2" localSheetId="7">'Reduce DMR (2)'!$B$54</definedName>
    <definedName name="ypr2" localSheetId="1">'Status Quo'!$B$54</definedName>
    <definedName name="ypr2">'Proof of Concept'!$B$51</definedName>
    <definedName name="ypr3" localSheetId="2">'Excluders (1)'!$B$55</definedName>
    <definedName name="ypr3" localSheetId="3">'Excluders (2)'!$B$55</definedName>
    <definedName name="ypr3" localSheetId="4">'No Size Limit (1)'!$B$55</definedName>
    <definedName name="ypr3" localSheetId="5">'No Size Limit (2)'!$B$55</definedName>
    <definedName name="ypr3" localSheetId="6">'Reduce DMR (1)'!$B$55</definedName>
    <definedName name="ypr3" localSheetId="7">'Reduce DMR (2)'!$B$55</definedName>
    <definedName name="ypr3" localSheetId="1">'Status Quo'!$B$55</definedName>
    <definedName name="ypr3">'Proof of Concept'!$B$52</definedName>
    <definedName name="za" localSheetId="2">'Excluders (1)'!$K$8:$AI$8</definedName>
    <definedName name="za" localSheetId="3">'Excluders (2)'!$K$8:$AI$8</definedName>
    <definedName name="za" localSheetId="4">'No Size Limit (1)'!$K$8:$AI$8</definedName>
    <definedName name="za" localSheetId="5">'No Size Limit (2)'!$K$8:$AI$8</definedName>
    <definedName name="za" localSheetId="6">'Reduce DMR (1)'!$K$8:$AI$8</definedName>
    <definedName name="za" localSheetId="7">'Reduce DMR (2)'!$K$8:$AI$8</definedName>
    <definedName name="za" localSheetId="1">'Status Quo'!$K$8:$AI$8</definedName>
    <definedName name="za">'Proof of Concept'!$K$8:$AI$8</definedName>
  </definedNames>
  <calcPr calcId="140000" calcMode="autoNoTable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7" i="4" l="1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E17" i="4"/>
  <c r="E18" i="4"/>
  <c r="E16" i="4"/>
  <c r="B23" i="3"/>
  <c r="B24" i="3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F2" i="4"/>
  <c r="E2" i="4"/>
  <c r="B22" i="3"/>
  <c r="B5" i="5"/>
  <c r="B4" i="3"/>
  <c r="B23" i="1"/>
  <c r="AI4" i="1"/>
  <c r="AI5" i="1"/>
  <c r="AH4" i="1"/>
  <c r="AH5" i="1"/>
  <c r="AG4" i="1"/>
  <c r="AG5" i="1"/>
  <c r="AF4" i="1"/>
  <c r="AF5" i="1"/>
  <c r="AE4" i="1"/>
  <c r="AE5" i="1"/>
  <c r="AD4" i="1"/>
  <c r="AD5" i="1"/>
  <c r="AC4" i="1"/>
  <c r="AC5" i="1"/>
  <c r="AB4" i="1"/>
  <c r="AB5" i="1"/>
  <c r="AA4" i="1"/>
  <c r="AA5" i="1"/>
  <c r="Z4" i="1"/>
  <c r="Z5" i="1"/>
  <c r="Y4" i="1"/>
  <c r="Y5" i="1"/>
  <c r="X4" i="1"/>
  <c r="X5" i="1"/>
  <c r="W4" i="1"/>
  <c r="W5" i="1"/>
  <c r="V4" i="1"/>
  <c r="V5" i="1"/>
  <c r="U4" i="1"/>
  <c r="U5" i="1"/>
  <c r="T4" i="1"/>
  <c r="T5" i="1"/>
  <c r="S4" i="1"/>
  <c r="S5" i="1"/>
  <c r="R4" i="1"/>
  <c r="R5" i="1"/>
  <c r="Q4" i="1"/>
  <c r="Q5" i="1"/>
  <c r="P4" i="1"/>
  <c r="P5" i="1"/>
  <c r="O4" i="1"/>
  <c r="O5" i="1"/>
  <c r="N4" i="1"/>
  <c r="N5" i="1"/>
  <c r="M4" i="1"/>
  <c r="M5" i="1"/>
  <c r="L4" i="1"/>
  <c r="L5" i="1"/>
  <c r="K4" i="1"/>
  <c r="K5" i="1"/>
  <c r="B22" i="12"/>
  <c r="AI4" i="12"/>
  <c r="AI5" i="12"/>
  <c r="AH4" i="12"/>
  <c r="AH5" i="12"/>
  <c r="AG4" i="12"/>
  <c r="AG5" i="12"/>
  <c r="AF4" i="12"/>
  <c r="AF5" i="12"/>
  <c r="AE4" i="12"/>
  <c r="AE5" i="12"/>
  <c r="AD4" i="12"/>
  <c r="AD5" i="12"/>
  <c r="AC4" i="12"/>
  <c r="AC5" i="12"/>
  <c r="AB4" i="12"/>
  <c r="AB5" i="12"/>
  <c r="AA4" i="12"/>
  <c r="AA5" i="12"/>
  <c r="Z4" i="12"/>
  <c r="Z5" i="12"/>
  <c r="Y4" i="12"/>
  <c r="Y5" i="12"/>
  <c r="X4" i="12"/>
  <c r="X5" i="12"/>
  <c r="W4" i="12"/>
  <c r="W5" i="12"/>
  <c r="V4" i="12"/>
  <c r="V5" i="12"/>
  <c r="U4" i="12"/>
  <c r="U5" i="12"/>
  <c r="T4" i="12"/>
  <c r="T5" i="12"/>
  <c r="S4" i="12"/>
  <c r="S5" i="12"/>
  <c r="R4" i="12"/>
  <c r="R5" i="12"/>
  <c r="Q4" i="12"/>
  <c r="Q5" i="12"/>
  <c r="P4" i="12"/>
  <c r="P5" i="12"/>
  <c r="O4" i="12"/>
  <c r="O5" i="12"/>
  <c r="N4" i="12"/>
  <c r="N5" i="12"/>
  <c r="M4" i="12"/>
  <c r="M5" i="12"/>
  <c r="L4" i="12"/>
  <c r="L5" i="12"/>
  <c r="K4" i="12"/>
  <c r="K5" i="12"/>
  <c r="B22" i="9"/>
  <c r="AI4" i="9"/>
  <c r="AI5" i="9"/>
  <c r="AH4" i="9"/>
  <c r="AH5" i="9"/>
  <c r="AG4" i="9"/>
  <c r="AG5" i="9"/>
  <c r="AF4" i="9"/>
  <c r="AF5" i="9"/>
  <c r="AE4" i="9"/>
  <c r="AE5" i="9"/>
  <c r="AD4" i="9"/>
  <c r="AD5" i="9"/>
  <c r="AC4" i="9"/>
  <c r="AC5" i="9"/>
  <c r="AB4" i="9"/>
  <c r="AB5" i="9"/>
  <c r="AA4" i="9"/>
  <c r="AA5" i="9"/>
  <c r="Z4" i="9"/>
  <c r="Z5" i="9"/>
  <c r="Y4" i="9"/>
  <c r="Y5" i="9"/>
  <c r="X4" i="9"/>
  <c r="X5" i="9"/>
  <c r="W4" i="9"/>
  <c r="W5" i="9"/>
  <c r="V4" i="9"/>
  <c r="V5" i="9"/>
  <c r="U4" i="9"/>
  <c r="U5" i="9"/>
  <c r="T4" i="9"/>
  <c r="T5" i="9"/>
  <c r="S4" i="9"/>
  <c r="S5" i="9"/>
  <c r="R4" i="9"/>
  <c r="R5" i="9"/>
  <c r="Q4" i="9"/>
  <c r="Q5" i="9"/>
  <c r="P4" i="9"/>
  <c r="P5" i="9"/>
  <c r="O4" i="9"/>
  <c r="O5" i="9"/>
  <c r="N4" i="9"/>
  <c r="N5" i="9"/>
  <c r="M4" i="9"/>
  <c r="M5" i="9"/>
  <c r="L4" i="9"/>
  <c r="L5" i="9"/>
  <c r="K4" i="9"/>
  <c r="K5" i="9"/>
  <c r="B22" i="11"/>
  <c r="AI4" i="11"/>
  <c r="AI5" i="11"/>
  <c r="AH4" i="11"/>
  <c r="AH5" i="11"/>
  <c r="AG4" i="11"/>
  <c r="AG5" i="11"/>
  <c r="AF4" i="11"/>
  <c r="AF5" i="11"/>
  <c r="AE4" i="11"/>
  <c r="AE5" i="11"/>
  <c r="AD4" i="11"/>
  <c r="AD5" i="11"/>
  <c r="AC4" i="11"/>
  <c r="AC5" i="11"/>
  <c r="AB4" i="11"/>
  <c r="AB5" i="11"/>
  <c r="AA4" i="11"/>
  <c r="AA5" i="11"/>
  <c r="Z4" i="11"/>
  <c r="Z5" i="11"/>
  <c r="Y4" i="11"/>
  <c r="Y5" i="11"/>
  <c r="X4" i="11"/>
  <c r="X5" i="11"/>
  <c r="W4" i="11"/>
  <c r="W5" i="11"/>
  <c r="V4" i="11"/>
  <c r="V5" i="11"/>
  <c r="U4" i="11"/>
  <c r="U5" i="11"/>
  <c r="T4" i="11"/>
  <c r="T5" i="11"/>
  <c r="S4" i="11"/>
  <c r="S5" i="11"/>
  <c r="R4" i="11"/>
  <c r="R5" i="11"/>
  <c r="Q4" i="11"/>
  <c r="Q5" i="11"/>
  <c r="P4" i="11"/>
  <c r="P5" i="11"/>
  <c r="O4" i="11"/>
  <c r="O5" i="11"/>
  <c r="N4" i="11"/>
  <c r="N5" i="11"/>
  <c r="M4" i="11"/>
  <c r="M5" i="11"/>
  <c r="L4" i="11"/>
  <c r="L5" i="11"/>
  <c r="K4" i="11"/>
  <c r="K5" i="11"/>
  <c r="B22" i="8"/>
  <c r="AI4" i="8"/>
  <c r="AI5" i="8"/>
  <c r="AH4" i="8"/>
  <c r="AH5" i="8"/>
  <c r="AG4" i="8"/>
  <c r="AG5" i="8"/>
  <c r="AF4" i="8"/>
  <c r="AF5" i="8"/>
  <c r="AE4" i="8"/>
  <c r="AE5" i="8"/>
  <c r="AD4" i="8"/>
  <c r="AD5" i="8"/>
  <c r="AC4" i="8"/>
  <c r="AC5" i="8"/>
  <c r="AB4" i="8"/>
  <c r="AB5" i="8"/>
  <c r="AA4" i="8"/>
  <c r="AA5" i="8"/>
  <c r="Z4" i="8"/>
  <c r="Z5" i="8"/>
  <c r="Y4" i="8"/>
  <c r="Y5" i="8"/>
  <c r="X4" i="8"/>
  <c r="X5" i="8"/>
  <c r="W4" i="8"/>
  <c r="W5" i="8"/>
  <c r="V4" i="8"/>
  <c r="V5" i="8"/>
  <c r="U4" i="8"/>
  <c r="U5" i="8"/>
  <c r="T4" i="8"/>
  <c r="T5" i="8"/>
  <c r="S4" i="8"/>
  <c r="S5" i="8"/>
  <c r="R4" i="8"/>
  <c r="R5" i="8"/>
  <c r="Q4" i="8"/>
  <c r="Q5" i="8"/>
  <c r="P4" i="8"/>
  <c r="P5" i="8"/>
  <c r="O4" i="8"/>
  <c r="O5" i="8"/>
  <c r="N4" i="8"/>
  <c r="N5" i="8"/>
  <c r="M4" i="8"/>
  <c r="M5" i="8"/>
  <c r="L4" i="8"/>
  <c r="L5" i="8"/>
  <c r="K4" i="8"/>
  <c r="K5" i="8"/>
  <c r="B22" i="10"/>
  <c r="AI4" i="10"/>
  <c r="AI5" i="10"/>
  <c r="AH4" i="10"/>
  <c r="AH5" i="10"/>
  <c r="AG4" i="10"/>
  <c r="AG5" i="10"/>
  <c r="AF4" i="10"/>
  <c r="AF5" i="10"/>
  <c r="AE4" i="10"/>
  <c r="AE5" i="10"/>
  <c r="AD4" i="10"/>
  <c r="AD5" i="10"/>
  <c r="AC4" i="10"/>
  <c r="AC5" i="10"/>
  <c r="AB4" i="10"/>
  <c r="AB5" i="10"/>
  <c r="AA4" i="10"/>
  <c r="AA5" i="10"/>
  <c r="Z4" i="10"/>
  <c r="Z5" i="10"/>
  <c r="Y4" i="10"/>
  <c r="Y5" i="10"/>
  <c r="X4" i="10"/>
  <c r="X5" i="10"/>
  <c r="W4" i="10"/>
  <c r="W5" i="10"/>
  <c r="V4" i="10"/>
  <c r="V5" i="10"/>
  <c r="U4" i="10"/>
  <c r="U5" i="10"/>
  <c r="T4" i="10"/>
  <c r="T5" i="10"/>
  <c r="S4" i="10"/>
  <c r="S5" i="10"/>
  <c r="R4" i="10"/>
  <c r="R5" i="10"/>
  <c r="Q4" i="10"/>
  <c r="Q5" i="10"/>
  <c r="P4" i="10"/>
  <c r="P5" i="10"/>
  <c r="O4" i="10"/>
  <c r="O5" i="10"/>
  <c r="N4" i="10"/>
  <c r="N5" i="10"/>
  <c r="M4" i="10"/>
  <c r="M5" i="10"/>
  <c r="L4" i="10"/>
  <c r="L5" i="10"/>
  <c r="K4" i="10"/>
  <c r="K5" i="10"/>
  <c r="B12" i="12"/>
  <c r="B11" i="12"/>
  <c r="B12" i="9"/>
  <c r="B11" i="9"/>
  <c r="B12" i="11"/>
  <c r="B11" i="11"/>
  <c r="B12" i="8"/>
  <c r="B11" i="8"/>
  <c r="B12" i="10"/>
  <c r="B11" i="10"/>
  <c r="B12" i="7"/>
  <c r="B11" i="7"/>
  <c r="B22" i="7"/>
  <c r="AI4" i="7"/>
  <c r="AI5" i="7"/>
  <c r="AH4" i="7"/>
  <c r="AH5" i="7"/>
  <c r="AG4" i="7"/>
  <c r="AG5" i="7"/>
  <c r="AF4" i="7"/>
  <c r="AF5" i="7"/>
  <c r="AE4" i="7"/>
  <c r="AE5" i="7"/>
  <c r="AD4" i="7"/>
  <c r="AD5" i="7"/>
  <c r="AC4" i="7"/>
  <c r="AC5" i="7"/>
  <c r="AB4" i="7"/>
  <c r="AB5" i="7"/>
  <c r="AA4" i="7"/>
  <c r="AA5" i="7"/>
  <c r="Z4" i="7"/>
  <c r="Z5" i="7"/>
  <c r="Y4" i="7"/>
  <c r="Y5" i="7"/>
  <c r="X4" i="7"/>
  <c r="X5" i="7"/>
  <c r="W4" i="7"/>
  <c r="W5" i="7"/>
  <c r="V4" i="7"/>
  <c r="V5" i="7"/>
  <c r="U4" i="7"/>
  <c r="U5" i="7"/>
  <c r="T4" i="7"/>
  <c r="T5" i="7"/>
  <c r="S4" i="7"/>
  <c r="S5" i="7"/>
  <c r="R4" i="7"/>
  <c r="R5" i="7"/>
  <c r="Q4" i="7"/>
  <c r="Q5" i="7"/>
  <c r="P4" i="7"/>
  <c r="P5" i="7"/>
  <c r="O4" i="7"/>
  <c r="O5" i="7"/>
  <c r="N4" i="7"/>
  <c r="N5" i="7"/>
  <c r="M4" i="7"/>
  <c r="M5" i="7"/>
  <c r="L4" i="7"/>
  <c r="L5" i="7"/>
  <c r="K4" i="7"/>
  <c r="K5" i="7"/>
  <c r="K16" i="6"/>
  <c r="J16" i="6"/>
  <c r="I16" i="6"/>
  <c r="F16" i="6"/>
  <c r="E16" i="6"/>
  <c r="D16" i="6"/>
  <c r="G19" i="3"/>
  <c r="K34" i="6"/>
  <c r="K28" i="6"/>
  <c r="K22" i="6"/>
  <c r="K10" i="6"/>
  <c r="B13" i="12"/>
  <c r="K7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12" i="12"/>
  <c r="AI18" i="12"/>
  <c r="AH12" i="12"/>
  <c r="AH18" i="12"/>
  <c r="AG12" i="12"/>
  <c r="AG18" i="12"/>
  <c r="AF12" i="12"/>
  <c r="AF18" i="12"/>
  <c r="AE12" i="12"/>
  <c r="AE18" i="12"/>
  <c r="AD12" i="12"/>
  <c r="AD18" i="12"/>
  <c r="AC12" i="12"/>
  <c r="AC18" i="12"/>
  <c r="AB12" i="12"/>
  <c r="AB18" i="12"/>
  <c r="AA12" i="12"/>
  <c r="AA18" i="12"/>
  <c r="Z12" i="12"/>
  <c r="Z18" i="12"/>
  <c r="Y12" i="12"/>
  <c r="Y18" i="12"/>
  <c r="X12" i="12"/>
  <c r="X18" i="12"/>
  <c r="W12" i="12"/>
  <c r="W18" i="12"/>
  <c r="V12" i="12"/>
  <c r="V18" i="12"/>
  <c r="U12" i="12"/>
  <c r="U18" i="12"/>
  <c r="T12" i="12"/>
  <c r="T18" i="12"/>
  <c r="S12" i="12"/>
  <c r="S18" i="12"/>
  <c r="R12" i="12"/>
  <c r="R18" i="12"/>
  <c r="Q12" i="12"/>
  <c r="Q18" i="12"/>
  <c r="P12" i="12"/>
  <c r="P18" i="12"/>
  <c r="O12" i="12"/>
  <c r="O18" i="12"/>
  <c r="N12" i="12"/>
  <c r="N18" i="12"/>
  <c r="M12" i="12"/>
  <c r="M18" i="12"/>
  <c r="L12" i="12"/>
  <c r="L18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12" i="11"/>
  <c r="AI18" i="11"/>
  <c r="AH12" i="11"/>
  <c r="AH18" i="11"/>
  <c r="AG12" i="11"/>
  <c r="AG18" i="11"/>
  <c r="AF12" i="11"/>
  <c r="AF18" i="11"/>
  <c r="AE12" i="11"/>
  <c r="AE18" i="11"/>
  <c r="AD12" i="11"/>
  <c r="AD18" i="11"/>
  <c r="AC12" i="11"/>
  <c r="AC18" i="11"/>
  <c r="AB12" i="11"/>
  <c r="AB18" i="11"/>
  <c r="AA12" i="11"/>
  <c r="AA18" i="11"/>
  <c r="Z12" i="11"/>
  <c r="Z18" i="11"/>
  <c r="Y12" i="11"/>
  <c r="Y18" i="11"/>
  <c r="X12" i="11"/>
  <c r="X18" i="11"/>
  <c r="W12" i="11"/>
  <c r="W18" i="11"/>
  <c r="V12" i="11"/>
  <c r="V18" i="11"/>
  <c r="U12" i="11"/>
  <c r="U18" i="11"/>
  <c r="T12" i="11"/>
  <c r="T18" i="11"/>
  <c r="S12" i="11"/>
  <c r="S18" i="11"/>
  <c r="R12" i="11"/>
  <c r="R18" i="11"/>
  <c r="Q12" i="11"/>
  <c r="Q18" i="11"/>
  <c r="P12" i="11"/>
  <c r="P18" i="11"/>
  <c r="O12" i="11"/>
  <c r="O18" i="11"/>
  <c r="N12" i="11"/>
  <c r="N18" i="11"/>
  <c r="M12" i="11"/>
  <c r="M18" i="11"/>
  <c r="L12" i="11"/>
  <c r="L18" i="11"/>
  <c r="B13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34" i="6"/>
  <c r="J28" i="6"/>
  <c r="J22" i="6"/>
  <c r="J10" i="6"/>
  <c r="I34" i="6"/>
  <c r="I28" i="6"/>
  <c r="I22" i="6"/>
  <c r="I10" i="6"/>
  <c r="B6" i="10"/>
  <c r="B5" i="10"/>
  <c r="B4" i="10"/>
  <c r="K7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12" i="10"/>
  <c r="AI18" i="10"/>
  <c r="AH12" i="10"/>
  <c r="AH18" i="10"/>
  <c r="AG12" i="10"/>
  <c r="AG18" i="10"/>
  <c r="AF12" i="10"/>
  <c r="AF18" i="10"/>
  <c r="AE12" i="10"/>
  <c r="AE18" i="10"/>
  <c r="AD12" i="10"/>
  <c r="AD18" i="10"/>
  <c r="AC12" i="10"/>
  <c r="AC18" i="10"/>
  <c r="AB12" i="10"/>
  <c r="AB18" i="10"/>
  <c r="AA12" i="10"/>
  <c r="AA18" i="10"/>
  <c r="Z12" i="10"/>
  <c r="Z18" i="10"/>
  <c r="Y12" i="10"/>
  <c r="Y18" i="10"/>
  <c r="X12" i="10"/>
  <c r="X18" i="10"/>
  <c r="W12" i="10"/>
  <c r="W18" i="10"/>
  <c r="V12" i="10"/>
  <c r="V18" i="10"/>
  <c r="U12" i="10"/>
  <c r="U18" i="10"/>
  <c r="T12" i="10"/>
  <c r="T18" i="10"/>
  <c r="S12" i="10"/>
  <c r="S18" i="10"/>
  <c r="R12" i="10"/>
  <c r="R18" i="10"/>
  <c r="Q12" i="10"/>
  <c r="Q18" i="10"/>
  <c r="P12" i="10"/>
  <c r="P18" i="10"/>
  <c r="O12" i="10"/>
  <c r="O18" i="10"/>
  <c r="N12" i="10"/>
  <c r="N18" i="10"/>
  <c r="M12" i="10"/>
  <c r="M18" i="10"/>
  <c r="L12" i="10"/>
  <c r="L18" i="10"/>
  <c r="B13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34" i="6"/>
  <c r="E28" i="6"/>
  <c r="E22" i="6"/>
  <c r="E10" i="6"/>
  <c r="D34" i="6"/>
  <c r="D28" i="6"/>
  <c r="D22" i="6"/>
  <c r="D10" i="6"/>
  <c r="F34" i="6"/>
  <c r="F28" i="6"/>
  <c r="F22" i="6"/>
  <c r="F10" i="6"/>
  <c r="B6" i="9"/>
  <c r="B5" i="9"/>
  <c r="B4" i="9"/>
  <c r="K7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12" i="9"/>
  <c r="AI18" i="9"/>
  <c r="AH12" i="9"/>
  <c r="AH18" i="9"/>
  <c r="AG12" i="9"/>
  <c r="AG18" i="9"/>
  <c r="AF12" i="9"/>
  <c r="AF18" i="9"/>
  <c r="AE12" i="9"/>
  <c r="AE18" i="9"/>
  <c r="AD12" i="9"/>
  <c r="AD18" i="9"/>
  <c r="AC12" i="9"/>
  <c r="AC18" i="9"/>
  <c r="AB12" i="9"/>
  <c r="AB18" i="9"/>
  <c r="AA12" i="9"/>
  <c r="AA18" i="9"/>
  <c r="Z12" i="9"/>
  <c r="Z18" i="9"/>
  <c r="Y12" i="9"/>
  <c r="Y18" i="9"/>
  <c r="X12" i="9"/>
  <c r="X18" i="9"/>
  <c r="W12" i="9"/>
  <c r="W18" i="9"/>
  <c r="V12" i="9"/>
  <c r="V18" i="9"/>
  <c r="U12" i="9"/>
  <c r="U18" i="9"/>
  <c r="T12" i="9"/>
  <c r="T18" i="9"/>
  <c r="S12" i="9"/>
  <c r="S18" i="9"/>
  <c r="R12" i="9"/>
  <c r="R18" i="9"/>
  <c r="Q12" i="9"/>
  <c r="Q18" i="9"/>
  <c r="P12" i="9"/>
  <c r="P18" i="9"/>
  <c r="O12" i="9"/>
  <c r="O18" i="9"/>
  <c r="N12" i="9"/>
  <c r="N18" i="9"/>
  <c r="M12" i="9"/>
  <c r="M18" i="9"/>
  <c r="L12" i="9"/>
  <c r="L18" i="9"/>
  <c r="B13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12" i="8"/>
  <c r="AI18" i="8"/>
  <c r="AH12" i="8"/>
  <c r="AH18" i="8"/>
  <c r="AG12" i="8"/>
  <c r="AG18" i="8"/>
  <c r="AF12" i="8"/>
  <c r="AF18" i="8"/>
  <c r="AE12" i="8"/>
  <c r="AE18" i="8"/>
  <c r="AD12" i="8"/>
  <c r="AD18" i="8"/>
  <c r="AC12" i="8"/>
  <c r="AC18" i="8"/>
  <c r="AB12" i="8"/>
  <c r="AB18" i="8"/>
  <c r="AA12" i="8"/>
  <c r="AA18" i="8"/>
  <c r="Z12" i="8"/>
  <c r="Z18" i="8"/>
  <c r="Y12" i="8"/>
  <c r="Y18" i="8"/>
  <c r="X12" i="8"/>
  <c r="X18" i="8"/>
  <c r="W12" i="8"/>
  <c r="W18" i="8"/>
  <c r="V12" i="8"/>
  <c r="V18" i="8"/>
  <c r="U12" i="8"/>
  <c r="U18" i="8"/>
  <c r="T12" i="8"/>
  <c r="T18" i="8"/>
  <c r="S12" i="8"/>
  <c r="S18" i="8"/>
  <c r="R12" i="8"/>
  <c r="R18" i="8"/>
  <c r="Q12" i="8"/>
  <c r="Q18" i="8"/>
  <c r="P12" i="8"/>
  <c r="P18" i="8"/>
  <c r="O12" i="8"/>
  <c r="O18" i="8"/>
  <c r="N12" i="8"/>
  <c r="N18" i="8"/>
  <c r="M12" i="8"/>
  <c r="M18" i="8"/>
  <c r="L12" i="8"/>
  <c r="L18" i="8"/>
  <c r="B13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I20" i="7"/>
  <c r="G20" i="7"/>
  <c r="H20" i="7"/>
  <c r="K12" i="7"/>
  <c r="K20" i="7"/>
  <c r="G19" i="7"/>
  <c r="H19" i="7"/>
  <c r="K19" i="7"/>
  <c r="I18" i="7"/>
  <c r="G18" i="7"/>
  <c r="H18" i="7"/>
  <c r="K18" i="7"/>
  <c r="AI12" i="7"/>
  <c r="AI18" i="7"/>
  <c r="AH12" i="7"/>
  <c r="AH18" i="7"/>
  <c r="AG12" i="7"/>
  <c r="AG18" i="7"/>
  <c r="AF12" i="7"/>
  <c r="AF18" i="7"/>
  <c r="AE12" i="7"/>
  <c r="AE18" i="7"/>
  <c r="AD12" i="7"/>
  <c r="AD18" i="7"/>
  <c r="AC12" i="7"/>
  <c r="AC18" i="7"/>
  <c r="AB12" i="7"/>
  <c r="AB18" i="7"/>
  <c r="AA12" i="7"/>
  <c r="AA18" i="7"/>
  <c r="Z12" i="7"/>
  <c r="Z18" i="7"/>
  <c r="Y12" i="7"/>
  <c r="Y18" i="7"/>
  <c r="X12" i="7"/>
  <c r="X18" i="7"/>
  <c r="W12" i="7"/>
  <c r="W18" i="7"/>
  <c r="V12" i="7"/>
  <c r="V18" i="7"/>
  <c r="U12" i="7"/>
  <c r="U18" i="7"/>
  <c r="T12" i="7"/>
  <c r="T18" i="7"/>
  <c r="S12" i="7"/>
  <c r="S18" i="7"/>
  <c r="R12" i="7"/>
  <c r="R18" i="7"/>
  <c r="Q12" i="7"/>
  <c r="Q18" i="7"/>
  <c r="P12" i="7"/>
  <c r="P18" i="7"/>
  <c r="O12" i="7"/>
  <c r="O18" i="7"/>
  <c r="N12" i="7"/>
  <c r="N18" i="7"/>
  <c r="M12" i="7"/>
  <c r="M18" i="7"/>
  <c r="L12" i="7"/>
  <c r="L18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B13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I19" i="3"/>
  <c r="H19" i="3"/>
  <c r="I20" i="3"/>
  <c r="G20" i="3"/>
  <c r="H20" i="3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D3" i="5"/>
  <c r="B13" i="3"/>
  <c r="I18" i="3"/>
  <c r="G18" i="3"/>
  <c r="H18" i="3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E15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F14" i="4"/>
  <c r="G14" i="4"/>
  <c r="H14" i="4"/>
  <c r="I14" i="4"/>
  <c r="J14" i="4"/>
  <c r="K14" i="4"/>
  <c r="L14" i="4"/>
  <c r="M14" i="4"/>
  <c r="N14" i="4"/>
  <c r="O14" i="4"/>
  <c r="P14" i="4"/>
  <c r="Q14" i="4"/>
  <c r="E14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E13" i="4"/>
  <c r="K12" i="1"/>
  <c r="K18" i="1"/>
  <c r="B6" i="3"/>
  <c r="B5" i="3"/>
  <c r="K7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B30" i="1"/>
  <c r="K6" i="1"/>
  <c r="K19" i="1"/>
  <c r="K20" i="1"/>
  <c r="K8" i="1"/>
  <c r="K7" i="1"/>
  <c r="L7" i="1"/>
  <c r="L19" i="1"/>
  <c r="L12" i="1"/>
  <c r="L18" i="1"/>
  <c r="L20" i="1"/>
  <c r="L8" i="1"/>
  <c r="M7" i="1"/>
  <c r="M19" i="1"/>
  <c r="M12" i="1"/>
  <c r="M18" i="1"/>
  <c r="M20" i="1"/>
  <c r="M8" i="1"/>
  <c r="N7" i="1"/>
  <c r="N19" i="1"/>
  <c r="N12" i="1"/>
  <c r="N18" i="1"/>
  <c r="N20" i="1"/>
  <c r="N8" i="1"/>
  <c r="O7" i="1"/>
  <c r="O19" i="1"/>
  <c r="O12" i="1"/>
  <c r="O18" i="1"/>
  <c r="O20" i="1"/>
  <c r="O8" i="1"/>
  <c r="P7" i="1"/>
  <c r="P19" i="1"/>
  <c r="P12" i="1"/>
  <c r="P18" i="1"/>
  <c r="P20" i="1"/>
  <c r="P8" i="1"/>
  <c r="Q7" i="1"/>
  <c r="Q19" i="1"/>
  <c r="Q12" i="1"/>
  <c r="Q18" i="1"/>
  <c r="Q20" i="1"/>
  <c r="Q8" i="1"/>
  <c r="R7" i="1"/>
  <c r="R19" i="1"/>
  <c r="R12" i="1"/>
  <c r="R18" i="1"/>
  <c r="R20" i="1"/>
  <c r="R8" i="1"/>
  <c r="S7" i="1"/>
  <c r="S19" i="1"/>
  <c r="S12" i="1"/>
  <c r="S18" i="1"/>
  <c r="S20" i="1"/>
  <c r="S8" i="1"/>
  <c r="T7" i="1"/>
  <c r="T19" i="1"/>
  <c r="T12" i="1"/>
  <c r="T18" i="1"/>
  <c r="T20" i="1"/>
  <c r="T8" i="1"/>
  <c r="U7" i="1"/>
  <c r="U19" i="1"/>
  <c r="U12" i="1"/>
  <c r="U18" i="1"/>
  <c r="U20" i="1"/>
  <c r="U8" i="1"/>
  <c r="V7" i="1"/>
  <c r="V19" i="1"/>
  <c r="V12" i="1"/>
  <c r="V18" i="1"/>
  <c r="V20" i="1"/>
  <c r="V8" i="1"/>
  <c r="W7" i="1"/>
  <c r="W19" i="1"/>
  <c r="W12" i="1"/>
  <c r="W18" i="1"/>
  <c r="W20" i="1"/>
  <c r="W8" i="1"/>
  <c r="X7" i="1"/>
  <c r="X19" i="1"/>
  <c r="X12" i="1"/>
  <c r="X18" i="1"/>
  <c r="X20" i="1"/>
  <c r="X8" i="1"/>
  <c r="Y7" i="1"/>
  <c r="Y19" i="1"/>
  <c r="Y12" i="1"/>
  <c r="Y18" i="1"/>
  <c r="Y20" i="1"/>
  <c r="Y8" i="1"/>
  <c r="Z7" i="1"/>
  <c r="Z19" i="1"/>
  <c r="Z12" i="1"/>
  <c r="Z18" i="1"/>
  <c r="Z20" i="1"/>
  <c r="Z8" i="1"/>
  <c r="AA7" i="1"/>
  <c r="AA19" i="1"/>
  <c r="AA12" i="1"/>
  <c r="AA18" i="1"/>
  <c r="AA20" i="1"/>
  <c r="AA8" i="1"/>
  <c r="AB7" i="1"/>
  <c r="AB19" i="1"/>
  <c r="AB12" i="1"/>
  <c r="AB18" i="1"/>
  <c r="AB20" i="1"/>
  <c r="AB8" i="1"/>
  <c r="AC7" i="1"/>
  <c r="AC19" i="1"/>
  <c r="AC12" i="1"/>
  <c r="AC18" i="1"/>
  <c r="AC20" i="1"/>
  <c r="AC8" i="1"/>
  <c r="AD7" i="1"/>
  <c r="AD19" i="1"/>
  <c r="AD12" i="1"/>
  <c r="AD18" i="1"/>
  <c r="AD20" i="1"/>
  <c r="AD8" i="1"/>
  <c r="AE7" i="1"/>
  <c r="AE19" i="1"/>
  <c r="AE12" i="1"/>
  <c r="AE18" i="1"/>
  <c r="AE20" i="1"/>
  <c r="AE8" i="1"/>
  <c r="AF7" i="1"/>
  <c r="AF19" i="1"/>
  <c r="AF12" i="1"/>
  <c r="AF18" i="1"/>
  <c r="AF20" i="1"/>
  <c r="AF8" i="1"/>
  <c r="AG7" i="1"/>
  <c r="AG19" i="1"/>
  <c r="AG12" i="1"/>
  <c r="AG18" i="1"/>
  <c r="AG20" i="1"/>
  <c r="AG8" i="1"/>
  <c r="AH7" i="1"/>
  <c r="AH19" i="1"/>
  <c r="AH12" i="1"/>
  <c r="AH18" i="1"/>
  <c r="AH20" i="1"/>
  <c r="AH8" i="1"/>
  <c r="AI19" i="1"/>
  <c r="AI12" i="1"/>
  <c r="AI18" i="1"/>
  <c r="AI20" i="1"/>
  <c r="AI8" i="1"/>
  <c r="AI7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H35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I35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G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I36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G37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H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B38" i="1"/>
  <c r="B50" i="1"/>
  <c r="B36" i="1"/>
  <c r="B54" i="1"/>
  <c r="B37" i="1"/>
  <c r="B55" i="1"/>
  <c r="B39" i="1"/>
  <c r="B51" i="1"/>
  <c r="B40" i="1"/>
  <c r="B52" i="1"/>
  <c r="C52" i="1"/>
  <c r="C51" i="1"/>
  <c r="C50" i="1"/>
  <c r="C4" i="1"/>
  <c r="C5" i="1"/>
  <c r="C6" i="1"/>
  <c r="B35" i="1"/>
  <c r="B53" i="1"/>
  <c r="C55" i="1"/>
  <c r="C54" i="1"/>
  <c r="C11" i="1"/>
  <c r="C12" i="1"/>
  <c r="C13" i="1"/>
  <c r="C53" i="1"/>
  <c r="B34" i="1"/>
  <c r="B33" i="1"/>
  <c r="B43" i="1"/>
  <c r="C14" i="1"/>
  <c r="C15" i="1"/>
  <c r="B21" i="1"/>
  <c r="B44" i="1"/>
  <c r="B46" i="1"/>
  <c r="B45" i="1"/>
  <c r="B47" i="1"/>
  <c r="C46" i="1"/>
  <c r="C47" i="1"/>
  <c r="C7" i="1"/>
  <c r="C8" i="1"/>
  <c r="C45" i="1"/>
  <c r="H32" i="1"/>
  <c r="H40" i="1"/>
  <c r="H52" i="1"/>
  <c r="J53" i="1" a="1"/>
  <c r="H31" i="1"/>
  <c r="G39" i="1"/>
  <c r="G52" i="1"/>
  <c r="J53" i="1"/>
  <c r="H53" i="1"/>
  <c r="H39" i="1"/>
  <c r="H47" i="1"/>
  <c r="H33" i="1"/>
  <c r="I41" i="1"/>
  <c r="I52" i="1"/>
  <c r="I53" i="1"/>
  <c r="I39" i="1"/>
  <c r="I47" i="1"/>
  <c r="B48" i="1"/>
  <c r="G40" i="1"/>
  <c r="J54" i="1"/>
  <c r="G54" i="1"/>
  <c r="G48" i="1"/>
  <c r="H54" i="1"/>
  <c r="H48" i="1"/>
  <c r="I54" i="1"/>
  <c r="I40" i="1"/>
  <c r="I48" i="1"/>
  <c r="G41" i="1"/>
  <c r="J55" i="1"/>
  <c r="G55" i="1"/>
  <c r="G49" i="1"/>
  <c r="H41" i="1"/>
  <c r="H55" i="1"/>
  <c r="H49" i="1"/>
  <c r="I55" i="1"/>
  <c r="I49" i="1"/>
  <c r="G53" i="1"/>
  <c r="G47" i="1"/>
  <c r="B4" i="5"/>
  <c r="B34" i="7"/>
  <c r="B21" i="7"/>
  <c r="B34" i="8"/>
  <c r="B21" i="8"/>
  <c r="B34" i="9"/>
  <c r="B21" i="9"/>
  <c r="B34" i="10"/>
  <c r="B21" i="10"/>
  <c r="B34" i="11"/>
  <c r="B21" i="11"/>
  <c r="B34" i="12"/>
  <c r="B21" i="12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B34" i="3"/>
  <c r="B21" i="3"/>
  <c r="B6" i="4"/>
  <c r="B7" i="4"/>
  <c r="B8" i="4"/>
  <c r="B9" i="4"/>
  <c r="B10" i="4"/>
  <c r="B5" i="4"/>
  <c r="B1" i="4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F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F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F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G4" i="10"/>
  <c r="C5" i="10"/>
  <c r="F5" i="10"/>
  <c r="G5" i="10"/>
  <c r="C6" i="10"/>
  <c r="F6" i="10"/>
  <c r="G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F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F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F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G53" i="8"/>
  <c r="H53" i="8"/>
  <c r="I53" i="8"/>
  <c r="J53" i="8" a="1"/>
  <c r="J53" i="8"/>
  <c r="B54" i="8"/>
  <c r="C54" i="8"/>
  <c r="G54" i="8"/>
  <c r="H54" i="8"/>
  <c r="I54" i="8"/>
  <c r="J54" i="8"/>
  <c r="B55" i="8"/>
  <c r="C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F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F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F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G52" i="3"/>
  <c r="H52" i="3"/>
  <c r="I52" i="3"/>
  <c r="B53" i="3"/>
  <c r="C53" i="3"/>
  <c r="G53" i="3"/>
  <c r="H53" i="3"/>
  <c r="I53" i="3"/>
  <c r="J53" i="3" a="1"/>
  <c r="J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G57" i="3" a="1"/>
  <c r="G57" i="3"/>
  <c r="H57" i="3"/>
  <c r="I57" i="3"/>
  <c r="B58" i="3"/>
  <c r="C58" i="3"/>
  <c r="G58" i="3"/>
  <c r="H58" i="3"/>
  <c r="I58" i="3"/>
  <c r="G59" i="3"/>
  <c r="H59" i="3"/>
  <c r="I59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C35" i="6"/>
  <c r="D35" i="6"/>
  <c r="E35" i="6"/>
  <c r="F35" i="6"/>
  <c r="I35" i="6"/>
  <c r="J35" i="6"/>
  <c r="K35" i="6"/>
  <c r="C36" i="6"/>
  <c r="D36" i="6"/>
  <c r="E36" i="6"/>
  <c r="F36" i="6"/>
  <c r="I36" i="6"/>
  <c r="J36" i="6"/>
  <c r="K36" i="6"/>
  <c r="C37" i="6"/>
  <c r="D37" i="6"/>
  <c r="E37" i="6"/>
  <c r="F37" i="6"/>
  <c r="I37" i="6"/>
  <c r="J37" i="6"/>
  <c r="K37" i="6"/>
  <c r="C38" i="6"/>
  <c r="D38" i="6"/>
  <c r="E38" i="6"/>
  <c r="F38" i="6"/>
  <c r="I38" i="6"/>
  <c r="J38" i="6"/>
  <c r="K38" i="6"/>
  <c r="D48" i="6"/>
  <c r="E48" i="6"/>
  <c r="F48" i="6"/>
  <c r="D49" i="6"/>
  <c r="E49" i="6"/>
  <c r="F49" i="6"/>
  <c r="D50" i="6"/>
  <c r="E50" i="6"/>
  <c r="F50" i="6"/>
</calcChain>
</file>

<file path=xl/comments1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2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<sst xmlns="http://schemas.openxmlformats.org/spreadsheetml/2006/main" count="1007" uniqueCount="149">
  <si>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</si>
  <si>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</si>
  <si>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</si>
  <si>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</si>
  <si>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</si>
  <si>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</si>
  <si>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</si>
  <si>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</si>
  <si>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</si>
  <si>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</si>
  <si>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</si>
  <si>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</si>
  <si>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</si>
  <si>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</si>
  <si>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</si>
  <si>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</si>
  <si>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</si>
  <si>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</si>
  <si>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</si>
  <si>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</si>
  <si>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</si>
  <si>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</si>
  <si>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</si>
  <si>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</si>
  <si>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</si>
  <si>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</si>
  <si>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</si>
  <si>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</si>
  <si>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</si>
  <si>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</si>
  <si>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</si>
  <si>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</si>
  <si>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</si>
  <si>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</si>
  <si>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</si>
  <si>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</si>
  <si>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</si>
  <si>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</si>
  <si>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</si>
  <si>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</si>
  <si>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</si>
  <si>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</si>
  <si>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</si>
  <si>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</si>
  <si>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</si>
  <si>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</si>
  <si>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</si>
  <si>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</si>
  <si>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</si>
  <si>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</si>
  <si>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</si>
  <si>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</si>
  <si>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</si>
  <si>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</si>
  <si>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</si>
  <si>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</si>
  <si>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</si>
  <si>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</si>
  <si>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</si>
  <si>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</si>
  <si>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</si>
  <si>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</si>
  <si>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</si>
  <si>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</si>
  <si>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</si>
  <si>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</si>
  <si>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</si>
  <si>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</si>
  <si>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</si>
  <si>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</si>
  <si>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</si>
  <si>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</si>
  <si>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</si>
  <si>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</si>
  <si>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</si>
  <si>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</si>
  <si>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</si>
  <si>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</si>
  <si>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</si>
  <si>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</si>
  <si>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</si>
  <si>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</si>
  <si>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</si>
  <si>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</si>
  <si>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</si>
  <si>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</si>
  <si>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</si>
  <si>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</si>
  <si>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</si>
  <si>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</si>
  <si>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</si>
  <si>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</si>
  <si>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</si>
  <si>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</si>
  <si>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</si>
  <si>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</si>
  <si>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</si>
  <si>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</si>
  <si>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</si>
  <si>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</si>
  <si>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</si>
  <si>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</si>
  <si>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</si>
  <si>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</si>
  <si>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</si>
  <si>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</si>
  <si>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</si>
  <si>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</si>
  <si>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</si>
  <si>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</si>
  <si>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</si>
  <si>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</si>
  <si>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</si>
  <si>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</si>
  <si>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</si>
  <si>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</si>
  <si>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</si>
  <si>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</si>
  <si>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</si>
  <si>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</si>
  <si>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</si>
  <si>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</si>
  <si>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</si>
  <si>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Wa</t>
  </si>
  <si>
    <t>Wa_hat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</si>
  <si>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</si>
  <si>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</si>
  <si>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</si>
  <si>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</si>
  <si>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</si>
  <si>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</si>
  <si>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</si>
  <si>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</si>
  <si>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</si>
  <si>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</si>
  <si>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</si>
  <si>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Reduce DMR</t>
  </si>
  <si>
    <t>Excluders</t>
  </si>
  <si>
    <t>ALLOCATION BASED ON YPR</t>
  </si>
  <si>
    <t>ALLOCATION BASED ON MPR</t>
  </si>
  <si>
    <t>Full Retention</t>
  </si>
  <si>
    <t xml:space="preserve"> </t>
  </si>
  <si>
    <t>q</t>
  </si>
  <si>
    <t>CPUE</t>
  </si>
  <si>
    <t>CPUE || ENCOUNTER RATE</t>
  </si>
  <si>
    <t>Yield Equivalents</t>
  </si>
  <si>
    <t>Campana,</t>
  </si>
  <si>
    <t>Steven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</si>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</sst>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</numFmts>
  <fonts count="22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7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2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5" fillId="0" borderId="0" xfId="0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14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8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8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8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8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7" fillId="0" borderId="3" xfId="0" applyFont="1" applyBorder="1" applyAlignment="1">
      <alignment horizontal="center"/>
    </xf>
    <xf numFmtId="9" fontId="18" fillId="0" borderId="6" xfId="2" applyFont="1" applyBorder="1" applyAlignment="1">
      <alignment horizontal="center"/>
    </xf>
    <xf numFmtId="43" fontId="18" fillId="0" borderId="6" xfId="1" applyNumberFormat="1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2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1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1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1" fillId="0" borderId="6" xfId="1" applyNumberFormat="1" applyFont="1" applyBorder="1" applyAlignment="1"/>
    <xf numFmtId="9" fontId="21" fillId="0" borderId="6" xfId="2" applyFont="1" applyBorder="1" applyAlignment="1">
      <alignment horizontal="center"/>
    </xf>
    <xf numFmtId="43" fontId="21" fillId="0" borderId="6" xfId="1" applyNumberFormat="1" applyFont="1" applyBorder="1" applyAlignment="1"/>
    <xf numFmtId="166" fontId="18" fillId="0" borderId="6" xfId="1" applyNumberFormat="1" applyFont="1" applyBorder="1" applyAlignment="1"/>
    <xf numFmtId="0" fontId="19" fillId="8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43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166" fontId="18" fillId="0" borderId="0" xfId="1" applyNumberFormat="1" applyFont="1" applyBorder="1" applyAlignment="1"/>
    <xf numFmtId="166" fontId="21" fillId="0" borderId="0" xfId="1" applyNumberFormat="1" applyFont="1" applyBorder="1" applyAlignment="1"/>
    <xf numFmtId="166" fontId="14" fillId="0" borderId="6" xfId="1" applyNumberFormat="1" applyFont="1" applyBorder="1" applyAlignment="1"/>
    <xf numFmtId="164" fontId="0" fillId="0" borderId="0" xfId="2" applyNumberFormat="1" applyFont="1"/>
    <xf numFmtId="43" fontId="0" fillId="0" borderId="0" xfId="1" applyNumberFormat="1" applyFont="1" applyAlignment="1">
      <alignment horizontal="center"/>
    </xf>
    <xf numFmtId="43" fontId="0" fillId="0" borderId="3" xfId="1" applyNumberFormat="1" applyFont="1" applyBorder="1" applyAlignment="1">
      <alignment horizontal="center"/>
    </xf>
    <xf numFmtId="43" fontId="10" fillId="0" borderId="0" xfId="1" applyNumberFormat="1" applyFont="1" applyAlignment="1">
      <alignment horizontal="center"/>
    </xf>
    <xf numFmtId="43" fontId="10" fillId="0" borderId="3" xfId="1" applyNumberFormat="1" applyFont="1" applyBorder="1" applyAlignment="1">
      <alignment horizontal="center"/>
    </xf>
    <xf numFmtId="43" fontId="5" fillId="0" borderId="0" xfId="1" applyNumberFormat="1" applyFont="1" applyAlignment="1">
      <alignment horizontal="center"/>
    </xf>
    <xf numFmtId="43" fontId="5" fillId="0" borderId="3" xfId="1" applyNumberFormat="1" applyFont="1" applyBorder="1" applyAlignment="1">
      <alignment horizontal="center"/>
    </xf>
  </cellXfs>
  <cellStyles count="475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26.06350370259782</c:v>
                </c:pt>
                <c:pt idx="1">
                  <c:v>22.18762985877881</c:v>
                </c:pt>
                <c:pt idx="2">
                  <c:v>24.49093896322204</c:v>
                </c:pt>
                <c:pt idx="3">
                  <c:v>25.16273538009094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9.72020406732989</c:v>
                </c:pt>
                <c:pt idx="1">
                  <c:v>8.274723631121613</c:v>
                </c:pt>
                <c:pt idx="2">
                  <c:v>9.133726886432047</c:v>
                </c:pt>
                <c:pt idx="3">
                  <c:v>9.384268729853352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9.72020406732989</c:v>
                </c:pt>
                <c:pt idx="1">
                  <c:v>6.291987920476049</c:v>
                </c:pt>
                <c:pt idx="2">
                  <c:v>6.945162376446397</c:v>
                </c:pt>
                <c:pt idx="3">
                  <c:v>7.135671005212162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043768"/>
        <c:axId val="2130046744"/>
      </c:barChart>
      <c:catAx>
        <c:axId val="213004376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0046744"/>
        <c:crosses val="autoZero"/>
        <c:auto val="1"/>
        <c:lblAlgn val="ctr"/>
        <c:lblOffset val="100"/>
        <c:noMultiLvlLbl val="0"/>
      </c:catAx>
      <c:valAx>
        <c:axId val="213004674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300437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26.06350370259782</c:v>
                </c:pt>
                <c:pt idx="1">
                  <c:v>22.18762985877881</c:v>
                </c:pt>
                <c:pt idx="2">
                  <c:v>24.49093896322204</c:v>
                </c:pt>
                <c:pt idx="3">
                  <c:v>25.16273538009094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9.72020406732989</c:v>
                </c:pt>
                <c:pt idx="1">
                  <c:v>8.274723631121613</c:v>
                </c:pt>
                <c:pt idx="2">
                  <c:v>9.133726886432047</c:v>
                </c:pt>
                <c:pt idx="3">
                  <c:v>9.384268729853352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9.72020406732989</c:v>
                </c:pt>
                <c:pt idx="1">
                  <c:v>6.291987920476049</c:v>
                </c:pt>
                <c:pt idx="2">
                  <c:v>6.945162376446397</c:v>
                </c:pt>
                <c:pt idx="3">
                  <c:v>7.135671005212162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087752"/>
        <c:axId val="2130090728"/>
      </c:barChart>
      <c:catAx>
        <c:axId val="2130087752"/>
        <c:scaling>
          <c:orientation val="minMax"/>
        </c:scaling>
        <c:delete val="0"/>
        <c:axPos val="l"/>
        <c:majorTickMark val="out"/>
        <c:minorTickMark val="none"/>
        <c:tickLblPos val="nextTo"/>
        <c:crossAx val="2130090728"/>
        <c:crosses val="autoZero"/>
        <c:auto val="1"/>
        <c:lblAlgn val="ctr"/>
        <c:lblOffset val="100"/>
        <c:noMultiLvlLbl val="0"/>
      </c:catAx>
      <c:valAx>
        <c:axId val="2130090728"/>
        <c:scaling>
          <c:orientation val="minMax"/>
        </c:scaling>
        <c:delete val="0"/>
        <c:axPos val="b"/>
        <c:majorGridlines/>
        <c:numFmt formatCode="_-* #,##0.00_-;\-* #,##0.00_-;_-* &quot;-&quot;??_-;_-@_-" sourceLinked="1"/>
        <c:majorTickMark val="out"/>
        <c:minorTickMark val="none"/>
        <c:tickLblPos val="nextTo"/>
        <c:crossAx val="2130087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#,##0.00_-;\-* #,##0.00_-;_-* "-"??_-;_-@_-</c:formatCode>
                <c:ptCount val="9"/>
                <c:pt idx="0">
                  <c:v>26.06350370259782</c:v>
                </c:pt>
                <c:pt idx="1">
                  <c:v>22.18762985877881</c:v>
                </c:pt>
                <c:pt idx="2">
                  <c:v>24.49093896322204</c:v>
                </c:pt>
                <c:pt idx="3">
                  <c:v>25.16273538009094</c:v>
                </c:pt>
                <c:pt idx="6">
                  <c:v>24.08995109217945</c:v>
                </c:pt>
                <c:pt idx="7">
                  <c:v>22.6475984672685</c:v>
                </c:pt>
                <c:pt idx="8">
                  <c:v>22.65279806153426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#,##0.00_-;\-* #,##0.00_-;_-* "-"??_-;_-@_-</c:formatCode>
                <c:ptCount val="9"/>
                <c:pt idx="0">
                  <c:v>9.72020406732989</c:v>
                </c:pt>
                <c:pt idx="1">
                  <c:v>8.274723631121613</c:v>
                </c:pt>
                <c:pt idx="2">
                  <c:v>9.133726886432047</c:v>
                </c:pt>
                <c:pt idx="3">
                  <c:v>9.384268729853352</c:v>
                </c:pt>
                <c:pt idx="6">
                  <c:v>6.082943735476984</c:v>
                </c:pt>
                <c:pt idx="7">
                  <c:v>9.217184299149183</c:v>
                </c:pt>
                <c:pt idx="8">
                  <c:v>10.04492458831395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#,##0.00_-;\-* #,##0.00_-;_-* "-"??_-;_-@_-</c:formatCode>
                <c:ptCount val="9"/>
                <c:pt idx="0">
                  <c:v>9.72020406732989</c:v>
                </c:pt>
                <c:pt idx="1">
                  <c:v>6.291987920476049</c:v>
                </c:pt>
                <c:pt idx="2">
                  <c:v>6.945162376446397</c:v>
                </c:pt>
                <c:pt idx="3">
                  <c:v>7.135671005212162</c:v>
                </c:pt>
                <c:pt idx="6">
                  <c:v>85.53620670388253</c:v>
                </c:pt>
                <c:pt idx="7">
                  <c:v>7.667068747193373</c:v>
                </c:pt>
                <c:pt idx="8">
                  <c:v>7.9792159992133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30122328"/>
        <c:axId val="2130125304"/>
      </c:barChart>
      <c:catAx>
        <c:axId val="2130122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0125304"/>
        <c:crosses val="autoZero"/>
        <c:auto val="1"/>
        <c:lblAlgn val="ctr"/>
        <c:lblOffset val="100"/>
        <c:noMultiLvlLbl val="0"/>
      </c:catAx>
      <c:valAx>
        <c:axId val="213012530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301223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Selectivities!$D$6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Selectivities!$E$6:$AH$6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Selectivities!$D$17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Selectivities!$E$17:$AH$17</c:f>
              <c:numCache>
                <c:formatCode>0.00</c:formatCode>
                <c:ptCount val="30"/>
                <c:pt idx="0">
                  <c:v>0.0161142394180858</c:v>
                </c:pt>
                <c:pt idx="1">
                  <c:v>0.131153427687057</c:v>
                </c:pt>
                <c:pt idx="2">
                  <c:v>0.590308761495202</c:v>
                </c:pt>
                <c:pt idx="3">
                  <c:v>0.975938061987362</c:v>
                </c:pt>
                <c:pt idx="4">
                  <c:v>0.971832664130972</c:v>
                </c:pt>
                <c:pt idx="5">
                  <c:v>0.879306341270859</c:v>
                </c:pt>
                <c:pt idx="6">
                  <c:v>0.789247710983819</c:v>
                </c:pt>
                <c:pt idx="7">
                  <c:v>0.712274529708313</c:v>
                </c:pt>
                <c:pt idx="8">
                  <c:v>0.647438072669183</c:v>
                </c:pt>
                <c:pt idx="9">
                  <c:v>0.592660692023392</c:v>
                </c:pt>
                <c:pt idx="10">
                  <c:v>0.546107634804396</c:v>
                </c:pt>
                <c:pt idx="11">
                  <c:v>0.506300563252768</c:v>
                </c:pt>
                <c:pt idx="12">
                  <c:v>0.472062649544451</c:v>
                </c:pt>
                <c:pt idx="13">
                  <c:v>0.442454065001705</c:v>
                </c:pt>
                <c:pt idx="14">
                  <c:v>0.416719350093797</c:v>
                </c:pt>
                <c:pt idx="15">
                  <c:v>0.416719350093797</c:v>
                </c:pt>
                <c:pt idx="16">
                  <c:v>0.416719350093797</c:v>
                </c:pt>
                <c:pt idx="17">
                  <c:v>0.416719350093797</c:v>
                </c:pt>
                <c:pt idx="18">
                  <c:v>0.416719350093797</c:v>
                </c:pt>
                <c:pt idx="19">
                  <c:v>0.416719350093797</c:v>
                </c:pt>
                <c:pt idx="20">
                  <c:v>0.416719350093797</c:v>
                </c:pt>
                <c:pt idx="21">
                  <c:v>0.416719350093797</c:v>
                </c:pt>
                <c:pt idx="22">
                  <c:v>0.416719350093797</c:v>
                </c:pt>
                <c:pt idx="23">
                  <c:v>0.416719350093797</c:v>
                </c:pt>
                <c:pt idx="24">
                  <c:v>0.416719350093797</c:v>
                </c:pt>
                <c:pt idx="25">
                  <c:v>0.416719350093797</c:v>
                </c:pt>
                <c:pt idx="26">
                  <c:v>0.416719350093797</c:v>
                </c:pt>
                <c:pt idx="27">
                  <c:v>0.416719350093797</c:v>
                </c:pt>
                <c:pt idx="28">
                  <c:v>0.416719350093797</c:v>
                </c:pt>
                <c:pt idx="29">
                  <c:v>0.416719350093797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Selectivities!$D$5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Selectivities!$E$5:$AH$5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Selectivities!$D$16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Selectivities!$E$16:$AH$16</c:f>
              <c:numCache>
                <c:formatCode>0.00</c:formatCode>
                <c:ptCount val="30"/>
                <c:pt idx="0">
                  <c:v>1.35936774032751E-8</c:v>
                </c:pt>
                <c:pt idx="1">
                  <c:v>1.33595176067993E-7</c:v>
                </c:pt>
                <c:pt idx="2">
                  <c:v>1.10639559356794E-6</c:v>
                </c:pt>
                <c:pt idx="3">
                  <c:v>7.82098303647369E-6</c:v>
                </c:pt>
                <c:pt idx="4">
                  <c:v>4.77509580678989E-5</c:v>
                </c:pt>
                <c:pt idx="5">
                  <c:v>0.000254553680541461</c:v>
                </c:pt>
                <c:pt idx="6">
                  <c:v>0.00119622862700125</c:v>
                </c:pt>
                <c:pt idx="7">
                  <c:v>0.00499159885036309</c:v>
                </c:pt>
                <c:pt idx="8">
                  <c:v>0.0185258575300367</c:v>
                </c:pt>
                <c:pt idx="9">
                  <c:v>0.0604249271672571</c:v>
                </c:pt>
                <c:pt idx="10">
                  <c:v>0.166593138362224</c:v>
                </c:pt>
                <c:pt idx="11">
                  <c:v>0.363357908392387</c:v>
                </c:pt>
                <c:pt idx="12">
                  <c:v>0.601043148979615</c:v>
                </c:pt>
                <c:pt idx="13">
                  <c:v>0.78715804908701</c:v>
                </c:pt>
                <c:pt idx="14">
                  <c:v>0.894629994265362</c:v>
                </c:pt>
                <c:pt idx="15">
                  <c:v>0.948249677243429</c:v>
                </c:pt>
                <c:pt idx="16">
                  <c:v>0.973930461331974</c:v>
                </c:pt>
                <c:pt idx="17">
                  <c:v>0.986356823372836</c:v>
                </c:pt>
                <c:pt idx="18">
                  <c:v>0.992559138320105</c:v>
                </c:pt>
                <c:pt idx="19">
                  <c:v>0.995774829954334</c:v>
                </c:pt>
                <c:pt idx="20">
                  <c:v>0.997508649023182</c:v>
                </c:pt>
                <c:pt idx="21">
                  <c:v>0.998479572946145</c:v>
                </c:pt>
                <c:pt idx="22">
                  <c:v>0.999042993705309</c:v>
                </c:pt>
                <c:pt idx="23">
                  <c:v>0.999380901740929</c:v>
                </c:pt>
                <c:pt idx="24">
                  <c:v>0.999589777407065</c:v>
                </c:pt>
                <c:pt idx="25">
                  <c:v>0.999722489970792</c:v>
                </c:pt>
                <c:pt idx="26">
                  <c:v>0.999808929302127</c:v>
                </c:pt>
                <c:pt idx="27">
                  <c:v>0.99986649527317</c:v>
                </c:pt>
                <c:pt idx="28">
                  <c:v>0.99990559725607</c:v>
                </c:pt>
                <c:pt idx="29">
                  <c:v>0.999932622966172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344600"/>
        <c:axId val="2130347576"/>
      </c:lineChart>
      <c:catAx>
        <c:axId val="2130344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347576"/>
        <c:crosses val="autoZero"/>
        <c:auto val="1"/>
        <c:lblAlgn val="ctr"/>
        <c:lblOffset val="100"/>
        <c:noMultiLvlLbl val="0"/>
      </c:catAx>
      <c:valAx>
        <c:axId val="21303475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30344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SAA!$C$2</c:f>
              <c:strCache>
                <c:ptCount val="1"/>
                <c:pt idx="0">
                  <c:v>Wa</c:v>
                </c:pt>
              </c:strCache>
            </c:strRef>
          </c:tx>
          <c:marker>
            <c:symbol val="none"/>
          </c:marker>
          <c:val>
            <c:numRef>
              <c:f>SAA!$D$2:$AG$2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SAA!$C$3</c:f>
              <c:strCache>
                <c:ptCount val="1"/>
                <c:pt idx="0">
                  <c:v>Wa_hat</c:v>
                </c:pt>
              </c:strCache>
            </c:strRef>
          </c:tx>
          <c:marker>
            <c:symbol val="none"/>
          </c:marker>
          <c:val>
            <c:numRef>
              <c:f>SAA!$D$3:$AG$3</c:f>
              <c:numCache>
                <c:formatCode>General</c:formatCode>
                <c:ptCount val="30"/>
                <c:pt idx="0">
                  <c:v>0.051195958452201</c:v>
                </c:pt>
                <c:pt idx="1">
                  <c:v>0.293426547002952</c:v>
                </c:pt>
                <c:pt idx="2">
                  <c:v>0.819336820716452</c:v>
                </c:pt>
                <c:pt idx="3">
                  <c:v>1.670981082326464</c:v>
                </c:pt>
                <c:pt idx="4">
                  <c:v>2.855887017507196</c:v>
                </c:pt>
                <c:pt idx="5">
                  <c:v>4.358800147502431</c:v>
                </c:pt>
                <c:pt idx="6">
                  <c:v>6.150262831844201</c:v>
                </c:pt>
                <c:pt idx="7">
                  <c:v>8.19279554805306</c:v>
                </c:pt>
                <c:pt idx="8">
                  <c:v>10.44527228486035</c:v>
                </c:pt>
                <c:pt idx="9">
                  <c:v>12.86594496174534</c:v>
                </c:pt>
                <c:pt idx="10">
                  <c:v>15.41446537612474</c:v>
                </c:pt>
                <c:pt idx="11">
                  <c:v>18.0531706358767</c:v>
                </c:pt>
                <c:pt idx="12">
                  <c:v>20.74783414032951</c:v>
                </c:pt>
                <c:pt idx="13">
                  <c:v>23.46803483147694</c:v>
                </c:pt>
                <c:pt idx="14">
                  <c:v>26.18725943682872</c:v>
                </c:pt>
                <c:pt idx="15">
                  <c:v>28.88282324904471</c:v>
                </c:pt>
                <c:pt idx="16">
                  <c:v>31.53567266506708</c:v>
                </c:pt>
                <c:pt idx="17">
                  <c:v>34.13011569814607</c:v>
                </c:pt>
                <c:pt idx="18">
                  <c:v>36.65351377654532</c:v>
                </c:pt>
                <c:pt idx="19">
                  <c:v>39.09595841409763</c:v>
                </c:pt>
                <c:pt idx="20">
                  <c:v>41.44994904896174</c:v>
                </c:pt>
                <c:pt idx="21">
                  <c:v>43.71008292927741</c:v>
                </c:pt>
                <c:pt idx="22">
                  <c:v>45.87276393651164</c:v>
                </c:pt>
                <c:pt idx="23">
                  <c:v>47.93593433717436</c:v>
                </c:pt>
                <c:pt idx="24">
                  <c:v>49.89883137693576</c:v>
                </c:pt>
                <c:pt idx="25">
                  <c:v>51.76176917423702</c:v>
                </c:pt>
                <c:pt idx="26">
                  <c:v>53.5259453766138</c:v>
                </c:pt>
                <c:pt idx="27">
                  <c:v>55.19327139216031</c:v>
                </c:pt>
                <c:pt idx="28">
                  <c:v>56.76622460928558</c:v>
                </c:pt>
                <c:pt idx="29">
                  <c:v>58.2477208005931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387448"/>
        <c:axId val="2130390424"/>
      </c:lineChart>
      <c:catAx>
        <c:axId val="2130387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390424"/>
        <c:crosses val="autoZero"/>
        <c:auto val="1"/>
        <c:lblAlgn val="ctr"/>
        <c:lblOffset val="100"/>
        <c:noMultiLvlLbl val="0"/>
      </c:catAx>
      <c:valAx>
        <c:axId val="2130390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387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33</xdr:row>
      <xdr:rowOff>127000</xdr:rowOff>
    </xdr:from>
    <xdr:to>
      <xdr:col>19</xdr:col>
      <xdr:colOff>241300</xdr:colOff>
      <xdr:row>45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48</xdr:row>
      <xdr:rowOff>76200</xdr:rowOff>
    </xdr:from>
    <xdr:to>
      <xdr:col>18</xdr:col>
      <xdr:colOff>673100</xdr:colOff>
      <xdr:row>60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48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18</xdr:row>
      <xdr:rowOff>215900</xdr:rowOff>
    </xdr:from>
    <xdr:to>
      <xdr:col>11</xdr:col>
      <xdr:colOff>406400</xdr:colOff>
      <xdr:row>30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152400</xdr:colOff>
      <xdr:row>12</xdr:row>
      <xdr:rowOff>127000</xdr:rowOff>
    </xdr:from>
    <xdr:to>
      <xdr:col>25</xdr:col>
      <xdr:colOff>596900</xdr:colOff>
      <xdr:row>24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tabSelected="1" zoomScale="125" zoomScaleNormal="125" zoomScalePageLayoutView="125" workbookViewId="0">
      <selection activeCell="J5" sqref="J5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86" customWidth="1"/>
    <col min="6" max="6" width="13.1640625" customWidth="1"/>
    <col min="7" max="8" width="4" customWidth="1"/>
    <col min="9" max="12" width="13.1640625" customWidth="1"/>
  </cols>
  <sheetData>
    <row r="3" spans="2:13">
      <c r="D3" s="107" t="s">
        <v>138</v>
      </c>
      <c r="E3" s="107"/>
      <c r="F3" s="107"/>
      <c r="I3" s="108" t="s">
        <v>139</v>
      </c>
      <c r="J3" s="108"/>
      <c r="K3" s="108"/>
    </row>
    <row r="4" spans="2:13">
      <c r="B4" s="62" t="s">
        <v>134</v>
      </c>
      <c r="C4" s="51" t="s">
        <v>115</v>
      </c>
      <c r="D4" s="82" t="s">
        <v>137</v>
      </c>
      <c r="E4" s="87" t="s">
        <v>140</v>
      </c>
      <c r="F4" s="87" t="s">
        <v>136</v>
      </c>
      <c r="I4" s="91" t="s">
        <v>137</v>
      </c>
      <c r="J4" s="92" t="s">
        <v>140</v>
      </c>
      <c r="K4" s="92" t="s">
        <v>136</v>
      </c>
    </row>
    <row r="5" spans="2:13">
      <c r="B5" s="8" t="s">
        <v>106</v>
      </c>
      <c r="C5" s="116">
        <f ca="1">'Status Quo'!ye_1/1000</f>
        <v>26.063503702597821</v>
      </c>
      <c r="D5" s="118">
        <f ca="1">'Excluders (1)'!ye_1/1000</f>
        <v>22.187629858778813</v>
      </c>
      <c r="E5" s="118">
        <f ca="1">'No Size Limit (1)'!ye_1/1000</f>
        <v>24.490938963222035</v>
      </c>
      <c r="F5" s="118">
        <f ca="1">'Reduce DMR (1)'!ye_1/1000</f>
        <v>25.162735380090943</v>
      </c>
      <c r="I5" s="120">
        <f ca="1">'Excluders (2)'!ye_1/1000</f>
        <v>24.089951092179454</v>
      </c>
      <c r="J5" s="120">
        <f ca="1">'No Size Limit (2)'!ye_1/1000</f>
        <v>22.647598467268498</v>
      </c>
      <c r="K5" s="120">
        <f ca="1">'Reduce DMR (2)'!ye_1/1000</f>
        <v>22.652798061534263</v>
      </c>
    </row>
    <row r="6" spans="2:13">
      <c r="B6" s="8" t="s">
        <v>107</v>
      </c>
      <c r="C6" s="116">
        <f ca="1">'Status Quo'!ye_2/1000</f>
        <v>9.72020406732989</v>
      </c>
      <c r="D6" s="118">
        <f ca="1">'Excluders (1)'!ye_2/1000</f>
        <v>8.2747236311216135</v>
      </c>
      <c r="E6" s="118">
        <f ca="1">'No Size Limit (1)'!ye_2/1000</f>
        <v>9.1337268864320471</v>
      </c>
      <c r="F6" s="118">
        <f ca="1">'Reduce DMR (1)'!ye_2/1000</f>
        <v>9.3842687298533516</v>
      </c>
      <c r="I6" s="120">
        <f ca="1">'Excluders (2)'!ye_2/1000</f>
        <v>6.0829437354769844</v>
      </c>
      <c r="J6" s="120">
        <f ca="1">'No Size Limit (2)'!ye_2/1000</f>
        <v>9.2171842991491832</v>
      </c>
      <c r="K6" s="120">
        <f ca="1">'Reduce DMR (2)'!ye_2/1000</f>
        <v>10.044924588313945</v>
      </c>
    </row>
    <row r="7" spans="2:13">
      <c r="B7" s="49" t="s">
        <v>108</v>
      </c>
      <c r="C7" s="117">
        <f ca="1">'Status Quo'!ye_2/1000</f>
        <v>9.72020406732989</v>
      </c>
      <c r="D7" s="119">
        <f ca="1">'Excluders (1)'!ye_3/1000</f>
        <v>6.2919879204760489</v>
      </c>
      <c r="E7" s="119">
        <f ca="1">'No Size Limit (1)'!ye_3/1000</f>
        <v>6.9451623764463974</v>
      </c>
      <c r="F7" s="119">
        <f ca="1">'Reduce DMR (1)'!ye_3/1000</f>
        <v>7.1356710052121626</v>
      </c>
      <c r="I7" s="121">
        <f ca="1">'Excluders (2)'!ye_3/100</f>
        <v>85.536206703882527</v>
      </c>
      <c r="J7" s="121">
        <f ca="1">'No Size Limit (2)'!ye_3/1000</f>
        <v>7.6670687471933734</v>
      </c>
      <c r="K7" s="121">
        <f ca="1">'Reduce DMR (2)'!ye_3/1000</f>
        <v>7.9792159992132996</v>
      </c>
    </row>
    <row r="8" spans="2:13">
      <c r="B8" s="48" t="s">
        <v>72</v>
      </c>
      <c r="C8" s="63">
        <f ca="1">SUM(C5:C7)</f>
        <v>45.503911837257597</v>
      </c>
      <c r="D8" s="75">
        <f ca="1">SUM(D5:D7)</f>
        <v>36.754341410376476</v>
      </c>
      <c r="E8" s="75">
        <f ca="1">SUM(E5:E7)</f>
        <v>40.569828226100476</v>
      </c>
      <c r="F8" s="75">
        <f ca="1">SUM(F5:F7)</f>
        <v>41.682675115156457</v>
      </c>
      <c r="I8" s="93">
        <f ca="1">SUM(I5:I7)</f>
        <v>115.70910153153896</v>
      </c>
      <c r="J8" s="93">
        <f ca="1">SUM(J5:J7)</f>
        <v>39.531851513611059</v>
      </c>
      <c r="K8" s="93">
        <f ca="1">SUM(K5:K7)</f>
        <v>40.676938649061512</v>
      </c>
      <c r="M8" t="s">
        <v>141</v>
      </c>
    </row>
    <row r="9" spans="2:13">
      <c r="D9" s="74"/>
      <c r="F9" s="86"/>
      <c r="I9" s="94"/>
      <c r="J9" s="17"/>
      <c r="K9" s="17"/>
    </row>
    <row r="10" spans="2:13">
      <c r="B10" s="62" t="s">
        <v>128</v>
      </c>
      <c r="C10" s="88" t="s">
        <v>115</v>
      </c>
      <c r="D10" s="82" t="str">
        <f>D4</f>
        <v>Excluders</v>
      </c>
      <c r="E10" s="82" t="str">
        <f>E4</f>
        <v>Full Retention</v>
      </c>
      <c r="F10" s="87" t="str">
        <f>F4</f>
        <v>Reduce DMR</v>
      </c>
      <c r="I10" s="91" t="str">
        <f>I4</f>
        <v>Excluders</v>
      </c>
      <c r="J10" s="91" t="str">
        <f>J4</f>
        <v>Full Retention</v>
      </c>
      <c r="K10" s="92" t="str">
        <f>K4</f>
        <v>Reduce DMR</v>
      </c>
    </row>
    <row r="11" spans="2:13">
      <c r="B11" s="8" t="s">
        <v>106</v>
      </c>
      <c r="C11" s="66">
        <f ca="1">'Status Quo'!E27/10</f>
        <v>48.304166260900281</v>
      </c>
      <c r="D11" s="76">
        <f ca="1">'Excluders (1)'!E27/10</f>
        <v>13.769653621994186</v>
      </c>
      <c r="E11" s="76">
        <f ca="1">'No Size Limit (1)'!$E27/10</f>
        <v>21.425469778749164</v>
      </c>
      <c r="F11" s="76">
        <f ca="1">'Reduce DMR (1)'!$E27/10</f>
        <v>20.346575113885436</v>
      </c>
      <c r="I11" s="95">
        <f ca="1">'Excluders (2)'!E27/10</f>
        <v>21.867965911499297</v>
      </c>
      <c r="J11" s="95">
        <f ca="1">'No Size Limit (2)'!$E27/10</f>
        <v>22.863639955757506</v>
      </c>
      <c r="K11" s="95">
        <f ca="1">'Reduce DMR (2)'!$E27/10</f>
        <v>19.024658825860449</v>
      </c>
    </row>
    <row r="12" spans="2:13">
      <c r="B12" s="8" t="s">
        <v>107</v>
      </c>
      <c r="C12" s="66">
        <f ca="1">'Status Quo'!E28</f>
        <v>85.817329383935444</v>
      </c>
      <c r="D12" s="76">
        <f ca="1">'Excluders (1)'!E28</f>
        <v>201.23165443719</v>
      </c>
      <c r="E12" s="76">
        <f ca="1">'No Size Limit (1)'!$E28</f>
        <v>35.978763878911352</v>
      </c>
      <c r="F12" s="76">
        <f ca="1">'Reduce DMR (1)'!$E28</f>
        <v>148.88329092463877</v>
      </c>
      <c r="I12" s="95">
        <f ca="1">'Excluders (2)'!E28</f>
        <v>143.08589391220235</v>
      </c>
      <c r="J12" s="95">
        <f ca="1">'No Size Limit (2)'!$E28</f>
        <v>39.41154727842293</v>
      </c>
      <c r="K12" s="95">
        <f ca="1">'Reduce DMR (2)'!$E28</f>
        <v>167.64965529574263</v>
      </c>
    </row>
    <row r="13" spans="2:13">
      <c r="B13" s="49" t="s">
        <v>108</v>
      </c>
      <c r="C13" s="67">
        <f ca="1">'Status Quo'!E29</f>
        <v>98.731602364993506</v>
      </c>
      <c r="D13" s="77">
        <f ca="1">'Excluders (1)'!E29</f>
        <v>16.057048585619402</v>
      </c>
      <c r="E13" s="77">
        <f ca="1">'No Size Limit (1)'!$E29</f>
        <v>18.042040215151616</v>
      </c>
      <c r="F13" s="76">
        <f ca="1">'Reduce DMR (1)'!$E29</f>
        <v>17.640107532540785</v>
      </c>
      <c r="I13" s="95">
        <f ca="1">'Excluders (2)'!E29</f>
        <v>23.856179102172206</v>
      </c>
      <c r="J13" s="96">
        <f ca="1">'No Size Limit (2)'!$E29</f>
        <v>22.024520999808882</v>
      </c>
      <c r="K13" s="95">
        <f ca="1">'Reduce DMR (2)'!$E29</f>
        <v>20.9525032110448</v>
      </c>
    </row>
    <row r="14" spans="2:13">
      <c r="B14" s="48" t="s">
        <v>72</v>
      </c>
      <c r="C14" s="70">
        <f ca="1">SUM(C11:C13)</f>
        <v>232.85309800982924</v>
      </c>
      <c r="D14" s="78">
        <f ca="1">SUM(D11:D13)</f>
        <v>231.05835664480361</v>
      </c>
      <c r="E14" s="78">
        <f ca="1">SUM(E11:E13)</f>
        <v>75.446273872812128</v>
      </c>
      <c r="F14" s="106">
        <f ca="1">SUM(F11:F13)</f>
        <v>186.869973571065</v>
      </c>
      <c r="I14" s="103">
        <f ca="1">SUM(I11:I13)</f>
        <v>188.81003892587384</v>
      </c>
      <c r="J14" s="97">
        <f ca="1">SUM(J11:J13)</f>
        <v>84.299708233989321</v>
      </c>
      <c r="K14" s="103">
        <f ca="1">SUM(K11:K13)</f>
        <v>207.62681733264787</v>
      </c>
    </row>
    <row r="15" spans="2:13">
      <c r="B15" s="48"/>
      <c r="C15" s="70"/>
      <c r="D15" s="78"/>
      <c r="E15" s="78"/>
      <c r="F15" s="112"/>
      <c r="I15" s="113"/>
      <c r="J15" s="97"/>
      <c r="K15" s="113"/>
    </row>
    <row r="16" spans="2:13">
      <c r="B16" s="62" t="s">
        <v>144</v>
      </c>
      <c r="C16" s="88" t="s">
        <v>115</v>
      </c>
      <c r="D16" s="82" t="str">
        <f>D10</f>
        <v>Excluders</v>
      </c>
      <c r="E16" s="82" t="str">
        <f>E10</f>
        <v>Full Retention</v>
      </c>
      <c r="F16" s="87" t="str">
        <f>F10</f>
        <v>Reduce DMR</v>
      </c>
      <c r="I16" s="91" t="str">
        <f>I10</f>
        <v>Excluders</v>
      </c>
      <c r="J16" s="91" t="str">
        <f>J10</f>
        <v>Full Retention</v>
      </c>
      <c r="K16" s="92" t="str">
        <f>K10</f>
        <v>Reduce DMR</v>
      </c>
    </row>
    <row r="17" spans="2:11">
      <c r="B17" s="8" t="s">
        <v>106</v>
      </c>
      <c r="C17" s="66">
        <f ca="1">C5/C11</f>
        <v>0.53957051161640435</v>
      </c>
      <c r="D17" s="76">
        <f t="shared" ref="D17:F17" ca="1" si="0">D5/D11</f>
        <v>1.6113426283533119</v>
      </c>
      <c r="E17" s="76">
        <f t="shared" ca="1" si="0"/>
        <v>1.143075937943417</v>
      </c>
      <c r="F17" s="76">
        <f t="shared" ca="1" si="0"/>
        <v>1.2367061895797262</v>
      </c>
      <c r="I17" s="95">
        <f t="shared" ref="I17:K17" ca="1" si="1">I5/I11</f>
        <v>1.1016091386676126</v>
      </c>
      <c r="J17" s="95">
        <f t="shared" ca="1" si="1"/>
        <v>0.99055087077529824</v>
      </c>
      <c r="K17" s="95">
        <f t="shared" ca="1" si="1"/>
        <v>1.1907071905406283</v>
      </c>
    </row>
    <row r="18" spans="2:11">
      <c r="B18" s="8" t="s">
        <v>107</v>
      </c>
      <c r="C18" s="66">
        <f t="shared" ref="C18:F19" ca="1" si="2">C6/C12</f>
        <v>0.11326621484389214</v>
      </c>
      <c r="D18" s="76">
        <f t="shared" ca="1" si="2"/>
        <v>4.1120387616275275E-2</v>
      </c>
      <c r="E18" s="76">
        <f t="shared" ca="1" si="2"/>
        <v>0.25386438837009917</v>
      </c>
      <c r="F18" s="76">
        <f t="shared" ca="1" si="2"/>
        <v>6.3031040431551499E-2</v>
      </c>
      <c r="I18" s="95">
        <f t="shared" ref="I18:K18" ca="1" si="3">I6/I12</f>
        <v>4.251253264147397E-2</v>
      </c>
      <c r="J18" s="95">
        <f t="shared" ca="1" si="3"/>
        <v>0.23387014557013894</v>
      </c>
      <c r="K18" s="95">
        <f t="shared" ca="1" si="3"/>
        <v>5.9916166070214584E-2</v>
      </c>
    </row>
    <row r="19" spans="2:11">
      <c r="B19" s="49" t="s">
        <v>108</v>
      </c>
      <c r="C19" s="66">
        <f t="shared" ca="1" si="2"/>
        <v>9.84507881417339E-2</v>
      </c>
      <c r="D19" s="76">
        <f t="shared" ca="1" si="2"/>
        <v>0.39185208208880407</v>
      </c>
      <c r="E19" s="76">
        <f t="shared" ca="1" si="2"/>
        <v>0.38494329319884146</v>
      </c>
      <c r="F19" s="76">
        <f t="shared" ca="1" si="2"/>
        <v>0.40451403099720101</v>
      </c>
      <c r="I19" s="95">
        <f t="shared" ref="I19:K19" ca="1" si="4">I7/I13</f>
        <v>3.5854948245293019</v>
      </c>
      <c r="J19" s="95">
        <f t="shared" ca="1" si="4"/>
        <v>0.34811511892857533</v>
      </c>
      <c r="K19" s="95">
        <f t="shared" ca="1" si="4"/>
        <v>0.38082399600860939</v>
      </c>
    </row>
    <row r="20" spans="2:11">
      <c r="B20" s="48" t="s">
        <v>131</v>
      </c>
      <c r="C20" s="114">
        <f ca="1">AVERAGE(C17:C19)</f>
        <v>0.25042917153401012</v>
      </c>
      <c r="D20" s="106">
        <f t="shared" ref="D20:F20" ca="1" si="5">AVERAGE(D17:D19)</f>
        <v>0.68143836601946373</v>
      </c>
      <c r="E20" s="106">
        <f t="shared" ca="1" si="5"/>
        <v>0.59396120650411921</v>
      </c>
      <c r="F20" s="106">
        <f t="shared" ca="1" si="5"/>
        <v>0.56808375366949293</v>
      </c>
      <c r="I20" s="103">
        <f t="shared" ref="I20" ca="1" si="6">AVERAGE(I17:I19)</f>
        <v>1.5765388319461293</v>
      </c>
      <c r="J20" s="103">
        <f t="shared" ref="J20" ca="1" si="7">AVERAGE(J17:J19)</f>
        <v>0.52417871175800423</v>
      </c>
      <c r="K20" s="103">
        <f t="shared" ref="K20" ca="1" si="8">AVERAGE(K17:K19)</f>
        <v>0.54381578420648413</v>
      </c>
    </row>
    <row r="21" spans="2:11">
      <c r="D21" s="74"/>
      <c r="F21" s="86"/>
      <c r="I21" s="94"/>
      <c r="J21" s="17"/>
      <c r="K21" s="17"/>
    </row>
    <row r="22" spans="2:11">
      <c r="B22" s="69" t="s">
        <v>132</v>
      </c>
      <c r="C22" s="88" t="s">
        <v>115</v>
      </c>
      <c r="D22" s="82" t="str">
        <f>D4</f>
        <v>Excluders</v>
      </c>
      <c r="E22" s="82" t="str">
        <f>E4</f>
        <v>Full Retention</v>
      </c>
      <c r="F22" s="87" t="str">
        <f>F4</f>
        <v>Reduce DMR</v>
      </c>
      <c r="I22" s="91" t="str">
        <f>I4</f>
        <v>Excluders</v>
      </c>
      <c r="J22" s="91" t="str">
        <f>J4</f>
        <v>Full Retention</v>
      </c>
      <c r="K22" s="92" t="str">
        <f>K4</f>
        <v>Reduce DMR</v>
      </c>
    </row>
    <row r="23" spans="2:11">
      <c r="B23" s="8" t="s">
        <v>106</v>
      </c>
      <c r="C23" s="64">
        <f ca="1">'Status Quo'!C4</f>
        <v>0.60367371601208464</v>
      </c>
      <c r="D23" s="79">
        <f ca="1">'Excluders (1)'!C4</f>
        <v>0.60367371601208442</v>
      </c>
      <c r="E23" s="79">
        <f ca="1">'No Size Limit (1)'!$C4</f>
        <v>0.60367371601208464</v>
      </c>
      <c r="F23" s="79">
        <f ca="1">'Reduce DMR (1)'!$C4</f>
        <v>0.60367371601208464</v>
      </c>
      <c r="I23" s="98">
        <f ca="1">'Excluders (2)'!C4</f>
        <v>0.62205315356595303</v>
      </c>
      <c r="J23" s="98">
        <f ca="1">'No Size Limit (2)'!$C4</f>
        <v>0.57289495938410051</v>
      </c>
      <c r="K23" s="98">
        <f ca="1">'Reduce DMR (2)'!$C4</f>
        <v>0.55689535185944739</v>
      </c>
    </row>
    <row r="24" spans="2:11">
      <c r="B24" s="8" t="s">
        <v>107</v>
      </c>
      <c r="C24" s="64">
        <f ca="1">'Status Quo'!C5</f>
        <v>0.22513595166163142</v>
      </c>
      <c r="D24" s="79">
        <f ca="1">'Excluders (1)'!C5</f>
        <v>0.2251359516616315</v>
      </c>
      <c r="E24" s="79">
        <f ca="1">'No Size Limit (1)'!$C5</f>
        <v>0.22513595166163136</v>
      </c>
      <c r="F24" s="79">
        <f ca="1">'Reduce DMR (1)'!$C5</f>
        <v>0.22513595166163139</v>
      </c>
      <c r="I24" s="98">
        <f ca="1">'Excluders (2)'!C5</f>
        <v>0.15707438836794171</v>
      </c>
      <c r="J24" s="98">
        <f ca="1">'No Size Limit (2)'!$C5</f>
        <v>0.23315842659116665</v>
      </c>
      <c r="K24" s="98">
        <f ca="1">'Reduce DMR (2)'!$C5</f>
        <v>0.24694396682543113</v>
      </c>
    </row>
    <row r="25" spans="2:11">
      <c r="B25" s="49" t="s">
        <v>108</v>
      </c>
      <c r="C25" s="68">
        <f ca="1">'Status Quo'!C6</f>
        <v>0.17119033232628397</v>
      </c>
      <c r="D25" s="80">
        <f ca="1">'Excluders (1)'!C6</f>
        <v>0.17119033232628411</v>
      </c>
      <c r="E25" s="80">
        <f ca="1">'No Size Limit (1)'!$C6</f>
        <v>0.17119033232628397</v>
      </c>
      <c r="F25" s="79">
        <f ca="1">'Reduce DMR (1)'!$C6</f>
        <v>0.171190332326284</v>
      </c>
      <c r="I25" s="98">
        <f ca="1">'Excluders (2)'!C6</f>
        <v>0.22087245806610536</v>
      </c>
      <c r="J25" s="99">
        <f ca="1">'No Size Limit (2)'!$C6</f>
        <v>0.19394661402473282</v>
      </c>
      <c r="K25" s="98">
        <f ca="1">'Reduce DMR (2)'!$C6</f>
        <v>0.19616068131512138</v>
      </c>
    </row>
    <row r="26" spans="2:11">
      <c r="B26" s="48" t="s">
        <v>72</v>
      </c>
      <c r="C26" s="65">
        <f ca="1">SUM(C23:C25)</f>
        <v>1</v>
      </c>
      <c r="D26" s="81">
        <f ca="1">SUM(D23:D25)</f>
        <v>1</v>
      </c>
      <c r="E26" s="81">
        <f ca="1">SUM(E23:E25)</f>
        <v>1</v>
      </c>
      <c r="F26" s="89">
        <f ca="1">SUM(F23:F25)</f>
        <v>1</v>
      </c>
      <c r="I26" s="104">
        <f ca="1">SUM(I23:I25)</f>
        <v>1.0000000000000002</v>
      </c>
      <c r="J26" s="100">
        <f ca="1">SUM(J23:J25)</f>
        <v>1</v>
      </c>
      <c r="K26" s="104">
        <f ca="1">SUM(K23:K25)</f>
        <v>0.99999999999999978</v>
      </c>
    </row>
    <row r="27" spans="2:11">
      <c r="D27" s="74"/>
      <c r="F27" s="86"/>
      <c r="I27" s="94"/>
      <c r="J27" s="17"/>
      <c r="K27" s="17"/>
    </row>
    <row r="28" spans="2:11">
      <c r="B28" s="69" t="s">
        <v>133</v>
      </c>
      <c r="C28" s="88" t="s">
        <v>115</v>
      </c>
      <c r="D28" s="82" t="str">
        <f>D4</f>
        <v>Excluders</v>
      </c>
      <c r="E28" s="82" t="str">
        <f>E4</f>
        <v>Full Retention</v>
      </c>
      <c r="F28" s="87" t="str">
        <f>F4</f>
        <v>Reduce DMR</v>
      </c>
      <c r="I28" s="91" t="str">
        <f>I4</f>
        <v>Excluders</v>
      </c>
      <c r="J28" s="91" t="str">
        <f>J4</f>
        <v>Full Retention</v>
      </c>
      <c r="K28" s="92" t="str">
        <f>K4</f>
        <v>Reduce DMR</v>
      </c>
    </row>
    <row r="29" spans="2:11">
      <c r="B29" s="8" t="s">
        <v>106</v>
      </c>
      <c r="C29" s="64">
        <f ca="1">'Status Quo'!C11</f>
        <v>0.3155065966746845</v>
      </c>
      <c r="D29" s="79">
        <f ca="1">'Excluders (1)'!C11</f>
        <v>0.20366923842227971</v>
      </c>
      <c r="E29" s="79">
        <f ca="1">'No Size Limit (1)'!$C11</f>
        <v>0.28370844168367415</v>
      </c>
      <c r="F29" s="79">
        <f ca="1">'Reduce DMR (1)'!$C11</f>
        <v>0.30011910897086014</v>
      </c>
      <c r="I29" s="98">
        <f ca="1">'Excluders (2)'!C11</f>
        <v>0.26028638242243246</v>
      </c>
      <c r="J29" s="98">
        <f ca="1">'No Size Limit (2)'!$C11</f>
        <v>0.26028638242243263</v>
      </c>
      <c r="K29" s="98">
        <f ca="1">'Reduce DMR (2)'!$C11</f>
        <v>0.26028638242243257</v>
      </c>
    </row>
    <row r="30" spans="2:11">
      <c r="B30" s="8">
        <v>0</v>
      </c>
      <c r="C30" s="64">
        <f ca="1">'Status Quo'!C12</f>
        <v>0.55932014757566195</v>
      </c>
      <c r="D30" s="79">
        <f ca="1">'Excluders (1)'!C12</f>
        <v>0.68168058497866879</v>
      </c>
      <c r="E30" s="79">
        <f ca="1">'No Size Limit (1)'!$C12</f>
        <v>0.55054177791102588</v>
      </c>
      <c r="F30" s="79">
        <f ca="1">'Reduce DMR (1)'!$C12</f>
        <v>0.53185726888098617</v>
      </c>
      <c r="I30" s="98">
        <f ca="1">'Excluders (2)'!C12</f>
        <v>0.55746237931999665</v>
      </c>
      <c r="J30" s="98">
        <f ca="1">'No Size Limit (2)'!$C12</f>
        <v>0.55746237931999676</v>
      </c>
      <c r="K30" s="98">
        <f ca="1">'Reduce DMR (2)'!$C12</f>
        <v>0.55746237931999654</v>
      </c>
    </row>
    <row r="31" spans="2:11">
      <c r="B31" s="49" t="s">
        <v>108</v>
      </c>
      <c r="C31" s="68">
        <f ca="1">'Status Quo'!C13</f>
        <v>0.12517325574965357</v>
      </c>
      <c r="D31" s="80">
        <f ca="1">'Excluders (1)'!C13</f>
        <v>0.11465017659905141</v>
      </c>
      <c r="E31" s="79">
        <f ca="1">'No Size Limit (1)'!$C13</f>
        <v>0.16574978040530003</v>
      </c>
      <c r="F31" s="79">
        <f ca="1">'Reduce DMR (1)'!$C13</f>
        <v>0.16802362214815378</v>
      </c>
      <c r="I31" s="98">
        <f ca="1">'Excluders (2)'!C13</f>
        <v>0.18225123825757072</v>
      </c>
      <c r="J31" s="98">
        <f ca="1">'No Size Limit (2)'!$C13</f>
        <v>0.1822512382575707</v>
      </c>
      <c r="K31" s="98">
        <f ca="1">'Reduce DMR (2)'!$C13</f>
        <v>0.18225123825757075</v>
      </c>
    </row>
    <row r="32" spans="2:11">
      <c r="B32" s="48" t="s">
        <v>72</v>
      </c>
      <c r="C32" s="65">
        <f ca="1">SUM(C29:C31)</f>
        <v>1</v>
      </c>
      <c r="D32" s="81">
        <f ca="1">SUM(D29:D31)</f>
        <v>0.99999999999999989</v>
      </c>
      <c r="E32" s="89">
        <f ca="1">SUM(E29:E31)</f>
        <v>1</v>
      </c>
      <c r="F32" s="89">
        <f ca="1">SUM(F29:F31)</f>
        <v>1</v>
      </c>
      <c r="I32" s="104">
        <f ca="1">SUM(I29:I31)</f>
        <v>0.99999999999999978</v>
      </c>
      <c r="J32" s="104">
        <f ca="1">SUM(J29:J31)</f>
        <v>1</v>
      </c>
      <c r="K32" s="104">
        <f ca="1">SUM(K29:K31)</f>
        <v>0.99999999999999978</v>
      </c>
    </row>
    <row r="33" spans="2:11">
      <c r="D33" s="74"/>
      <c r="F33" s="86"/>
      <c r="I33" s="94"/>
      <c r="J33" s="17"/>
      <c r="K33" s="17"/>
    </row>
    <row r="34" spans="2:11">
      <c r="B34" s="62" t="s">
        <v>135</v>
      </c>
      <c r="C34" s="88" t="s">
        <v>115</v>
      </c>
      <c r="D34" s="82" t="str">
        <f>D4</f>
        <v>Excluders</v>
      </c>
      <c r="E34" s="82" t="str">
        <f>E4</f>
        <v>Full Retention</v>
      </c>
      <c r="F34" s="87" t="str">
        <f>F4</f>
        <v>Reduce DMR</v>
      </c>
      <c r="I34" s="91" t="str">
        <f>I4</f>
        <v>Excluders</v>
      </c>
      <c r="J34" s="91" t="str">
        <f>J4</f>
        <v>Full Retention</v>
      </c>
      <c r="K34" s="92" t="str">
        <f>K4</f>
        <v>Reduce DMR</v>
      </c>
    </row>
    <row r="35" spans="2:11">
      <c r="B35" s="8" t="s">
        <v>106</v>
      </c>
      <c r="C35" s="71">
        <f ca="1">avg_wt1</f>
        <v>23.229405457203811</v>
      </c>
      <c r="D35" s="83">
        <f ca="1">'Excluders (1)'!avg_wt1</f>
        <v>59.363484751978689</v>
      </c>
      <c r="E35" s="83">
        <f ca="1">'No Size Limit (1)'!avg_wt1</f>
        <v>55.531423083301206</v>
      </c>
      <c r="F35" s="83">
        <f ca="1">'Reduce DMR (1)'!avg_wt1</f>
        <v>55.903328517002969</v>
      </c>
      <c r="I35" s="101">
        <f ca="1">'Excluders (2)'!avg_wt1</f>
        <v>55.892185887125436</v>
      </c>
      <c r="J35" s="101">
        <f ca="1">'No Size Limit (2)'!avg_wt1</f>
        <v>55.195310160664562</v>
      </c>
      <c r="K35" s="101">
        <f ca="1">'Reduce DMR (2)'!avg_wt1</f>
        <v>56.349840540181511</v>
      </c>
    </row>
    <row r="36" spans="2:11">
      <c r="B36" s="8" t="s">
        <v>107</v>
      </c>
      <c r="C36" s="71">
        <f ca="1">avg_wt2</f>
        <v>4.8868460787370891</v>
      </c>
      <c r="D36" s="83">
        <f ca="1">'Excluders (1)'!avg_wt2</f>
        <v>6.6146441731385055</v>
      </c>
      <c r="E36" s="83">
        <f ca="1">'No Size Limit (1)'!avg_wt2</f>
        <v>10.672431249267378</v>
      </c>
      <c r="F36" s="83">
        <f ca="1">'Reduce DMR (1)'!avg_wt2</f>
        <v>11.764644313922295</v>
      </c>
      <c r="I36" s="101">
        <f ca="1">'Excluders (2)'!avg_wt2</f>
        <v>6.5896881001741452</v>
      </c>
      <c r="J36" s="101">
        <f ca="1">'No Size Limit (2)'!avg_wt2</f>
        <v>10.488519169288425</v>
      </c>
      <c r="K36" s="101">
        <f ca="1">'Reduce DMR (2)'!avg_wt2</f>
        <v>11.666844297203539</v>
      </c>
    </row>
    <row r="37" spans="2:11">
      <c r="B37" s="49" t="s">
        <v>108</v>
      </c>
      <c r="C37" s="72">
        <f ca="1">avg_wt3</f>
        <v>16.603970688188589</v>
      </c>
      <c r="D37" s="84">
        <f ca="1">'Excluders (1)'!avg_wt3</f>
        <v>29.905224451627397</v>
      </c>
      <c r="E37" s="83">
        <f ca="1">'No Size Limit (1)'!avg_wt3</f>
        <v>26.954735074212955</v>
      </c>
      <c r="F37" s="83">
        <f ca="1">'Reduce DMR (1)'!avg_wt3</f>
        <v>28.31639360056764</v>
      </c>
      <c r="I37" s="102">
        <f ca="1">'Excluders (2)'!avg_wt3</f>
        <v>28.343019970618524</v>
      </c>
      <c r="J37" s="101">
        <f ca="1">'No Size Limit (2)'!avg_wt3</f>
        <v>26.686421344484245</v>
      </c>
      <c r="K37" s="101">
        <f ca="1">'Reduce DMR (2)'!avg_wt3</f>
        <v>28.347320851637406</v>
      </c>
    </row>
    <row r="38" spans="2:11">
      <c r="B38" s="48" t="s">
        <v>131</v>
      </c>
      <c r="C38" s="73">
        <f ca="1">AVERAGE(C35:C37)</f>
        <v>14.906740741376495</v>
      </c>
      <c r="D38" s="85">
        <f ca="1">AVERAGE(D35:D37)</f>
        <v>31.961117792248199</v>
      </c>
      <c r="E38" s="90">
        <f ca="1">AVERAGE(E35:E37)</f>
        <v>31.052863135593849</v>
      </c>
      <c r="F38" s="90">
        <f ca="1">AVERAGE(F35:F37)</f>
        <v>31.994788810497635</v>
      </c>
      <c r="I38" s="105">
        <f ca="1">AVERAGE(I35:I37)</f>
        <v>30.274964652639369</v>
      </c>
      <c r="J38" s="105">
        <f ca="1">AVERAGE(J35:J37)</f>
        <v>30.790083558145742</v>
      </c>
      <c r="K38" s="105">
        <f ca="1">AVERAGE(K35:K37)</f>
        <v>32.121335229674152</v>
      </c>
    </row>
    <row r="39" spans="2:11">
      <c r="I39" s="17"/>
    </row>
    <row r="46" spans="2:11">
      <c r="C46" s="52" t="s">
        <v>129</v>
      </c>
      <c r="D46" s="52"/>
      <c r="E46" s="52"/>
      <c r="F46" s="52"/>
    </row>
    <row r="47" spans="2:11">
      <c r="C47" s="54"/>
      <c r="D47" s="51" t="s">
        <v>106</v>
      </c>
      <c r="E47" s="51" t="s">
        <v>107</v>
      </c>
      <c r="F47" s="51" t="s">
        <v>108</v>
      </c>
    </row>
    <row r="48" spans="2:11">
      <c r="C48" s="55" t="s">
        <v>106</v>
      </c>
      <c r="D48" s="50">
        <f ca="1">'Status Quo'!G47</f>
        <v>0.99999999999999978</v>
      </c>
      <c r="E48" s="50">
        <f ca="1">'Status Quo'!H47</f>
        <v>0.50857273145794601</v>
      </c>
      <c r="F48" s="50">
        <f ca="1">'Status Quo'!I47</f>
        <v>0.49997792021856902</v>
      </c>
    </row>
    <row r="49" spans="3:6">
      <c r="C49" s="55" t="s">
        <v>107</v>
      </c>
      <c r="D49" s="50">
        <f ca="1">'Status Quo'!G48</f>
        <v>1.966287097488022</v>
      </c>
      <c r="E49" s="50">
        <f ca="1">'Status Quo'!H48</f>
        <v>1.0000000000000002</v>
      </c>
      <c r="F49" s="50">
        <f ca="1">'Status Quo'!I48</f>
        <v>0.90881253383577909</v>
      </c>
    </row>
    <row r="50" spans="3:6">
      <c r="C50" s="56" t="s">
        <v>108</v>
      </c>
      <c r="D50" s="53">
        <f ca="1">'Status Quo'!G49</f>
        <v>2.0000883230260302</v>
      </c>
      <c r="E50" s="53">
        <f ca="1">'Status Quo'!H49</f>
        <v>1.1003369372331944</v>
      </c>
      <c r="F50" s="53">
        <f ca="1">'Status Quo'!I49</f>
        <v>1.0000000000000002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4"/>
  <sheetViews>
    <sheetView topLeftCell="A9" workbookViewId="0">
      <pane xSplit="10" topLeftCell="K1" activePane="topRight" state="frozen"/>
      <selection pane="topRight" activeCell="G48" sqref="G48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 t="shared" ref="B4:B6" si="0">E4/SUM(E$4:E$6)</f>
        <v>0.60367371601208464</v>
      </c>
      <c r="C4" s="22">
        <f ca="1">ypr1/SUM(ypr1,ypr2,ypr3)</f>
        <v>0.60367371601208464</v>
      </c>
      <c r="E4" s="47">
        <v>24977</v>
      </c>
      <c r="F4" s="47">
        <f ca="1">ye_1</f>
        <v>26063.50370259782</v>
      </c>
      <c r="J4" t="s">
        <v>78</v>
      </c>
      <c r="K4" s="1">
        <f t="shared" ref="K4:AI4" si="1">linf*(1-EXP(-vonbk*(age+to)))</f>
        <v>13.046318292653432</v>
      </c>
      <c r="L4" s="1">
        <f t="shared" si="1"/>
        <v>23.347616162913688</v>
      </c>
      <c r="M4" s="1">
        <f t="shared" si="1"/>
        <v>32.877357290618576</v>
      </c>
      <c r="N4" s="1">
        <f t="shared" si="1"/>
        <v>41.693330491748405</v>
      </c>
      <c r="O4" s="1">
        <f t="shared" si="1"/>
        <v>49.848996258690072</v>
      </c>
      <c r="P4" s="1">
        <f t="shared" si="1"/>
        <v>57.393810947276052</v>
      </c>
      <c r="Q4" s="1">
        <f t="shared" si="1"/>
        <v>64.373526682543215</v>
      </c>
      <c r="R4" s="1">
        <f t="shared" si="1"/>
        <v>70.830468801855403</v>
      </c>
      <c r="S4" s="1">
        <f t="shared" si="1"/>
        <v>76.803792517817868</v>
      </c>
      <c r="T4" s="1">
        <f t="shared" si="1"/>
        <v>82.329720357400305</v>
      </c>
      <c r="U4" s="1">
        <f t="shared" si="1"/>
        <v>87.441761817110859</v>
      </c>
      <c r="V4" s="1">
        <f t="shared" si="1"/>
        <v>92.170916566220654</v>
      </c>
      <c r="W4" s="1">
        <f t="shared" si="1"/>
        <v>96.545862430273587</v>
      </c>
      <c r="X4" s="1">
        <f t="shared" si="1"/>
        <v>100.59312929482205</v>
      </c>
      <c r="Y4" s="1">
        <f t="shared" si="1"/>
        <v>104.33725998394947</v>
      </c>
      <c r="Z4" s="1">
        <f t="shared" si="1"/>
        <v>107.80095908915536</v>
      </c>
      <c r="AA4" s="1">
        <f t="shared" si="1"/>
        <v>111.00523065110768</v>
      </c>
      <c r="AB4" s="1">
        <f t="shared" si="1"/>
        <v>113.96950552917224</v>
      </c>
      <c r="AC4" s="1">
        <f t="shared" si="1"/>
        <v>116.71175923109342</v>
      </c>
      <c r="AD4" s="1">
        <f t="shared" si="1"/>
        <v>119.2486209173519</v>
      </c>
      <c r="AE4" s="1">
        <f t="shared" si="1"/>
        <v>121.59547424120646</v>
      </c>
      <c r="AF4" s="1">
        <f t="shared" si="1"/>
        <v>123.76655063591932</v>
      </c>
      <c r="AG4" s="1">
        <f t="shared" si="1"/>
        <v>125.77501561486294</v>
      </c>
      <c r="AH4" s="1">
        <f t="shared" si="1"/>
        <v>127.6330486078367</v>
      </c>
      <c r="AI4" s="1">
        <f>linf*(1-EXP(-vonbk*(age+to)))</f>
        <v>129.35191681772446</v>
      </c>
    </row>
    <row r="5" spans="1:35">
      <c r="A5" t="s">
        <v>107</v>
      </c>
      <c r="B5" s="25">
        <f t="shared" si="0"/>
        <v>0.22513595166163142</v>
      </c>
      <c r="C5" s="22">
        <f ca="1">ypr2/SUM(ypr1,ypr2,ypr3)</f>
        <v>0.22513595166163142</v>
      </c>
      <c r="E5" s="47">
        <v>9315</v>
      </c>
      <c r="F5" s="47">
        <f ca="1">ye_2</f>
        <v>9720.2040673298907</v>
      </c>
      <c r="J5" t="s">
        <v>3</v>
      </c>
      <c r="K5" s="9">
        <f>0.00000692*len^3.24</f>
        <v>2.8463422331928091E-2</v>
      </c>
      <c r="L5" s="9">
        <f>0.00000692*len^3.24</f>
        <v>0.18759097462799865</v>
      </c>
      <c r="M5" s="9">
        <f>0.00000692*len^3.24</f>
        <v>0.56865918035513974</v>
      </c>
      <c r="N5" s="9">
        <f>0.00000692*len^3.24</f>
        <v>1.2277836349341158</v>
      </c>
      <c r="O5" s="9">
        <f>0.00000692*len^3.24</f>
        <v>2.1903468301453306</v>
      </c>
      <c r="P5" s="9">
        <f>0.00000692*len^3.24</f>
        <v>3.4580311260017744</v>
      </c>
      <c r="Q5" s="9">
        <f>0.00000692*len^3.24</f>
        <v>5.0155406476452091</v>
      </c>
      <c r="R5" s="9">
        <f>0.00000692*len^3.24</f>
        <v>6.8362710099707851</v>
      </c>
      <c r="S5" s="9">
        <f>0.00000692*len^3.24</f>
        <v>8.8868107435907628</v>
      </c>
      <c r="T5" s="9">
        <f>0.00000692*len^3.24</f>
        <v>11.130370189957514</v>
      </c>
      <c r="U5" s="9">
        <f>0.00000692*len^3.24</f>
        <v>13.52930004753301</v>
      </c>
      <c r="V5" s="9">
        <f>0.00000692*len^3.24</f>
        <v>16.04687060330814</v>
      </c>
      <c r="W5" s="9">
        <f>0.00000692*len^3.24</f>
        <v>18.648468596790703</v>
      </c>
      <c r="X5" s="9">
        <f>0.00000692*len^3.24</f>
        <v>21.302346602874479</v>
      </c>
      <c r="Y5" s="9">
        <f>0.00000692*len^3.24</f>
        <v>23.980036480188978</v>
      </c>
      <c r="Z5" s="9">
        <f>0.00000692*len^3.24</f>
        <v>26.656516733369145</v>
      </c>
      <c r="AA5" s="9">
        <f>0.00000692*len^3.24</f>
        <v>29.310204703572428</v>
      </c>
      <c r="AB5" s="9">
        <f>0.00000692*len^3.24</f>
        <v>31.92282858792041</v>
      </c>
      <c r="AC5" s="9">
        <f>0.00000692*len^3.24</f>
        <v>34.479221246861961</v>
      </c>
      <c r="AD5" s="9">
        <f>0.00000692*len^3.24</f>
        <v>36.967067269020866</v>
      </c>
      <c r="AE5" s="9">
        <f>0.00000692*len^3.24</f>
        <v>39.376626453688502</v>
      </c>
      <c r="AF5" s="9">
        <f>0.00000692*len^3.24</f>
        <v>41.700450375802774</v>
      </c>
      <c r="AG5" s="9">
        <f>0.00000692*len^3.24</f>
        <v>43.933103684341276</v>
      </c>
      <c r="AH5" s="9">
        <f>0.00000692*len^3.24</f>
        <v>46.07089796334327</v>
      </c>
      <c r="AI5" s="9">
        <f>0.00000692*len^3.24</f>
        <v>48.111643110938189</v>
      </c>
    </row>
    <row r="6" spans="1:35">
      <c r="A6" t="s">
        <v>108</v>
      </c>
      <c r="B6" s="25">
        <f t="shared" si="0"/>
        <v>0.171190332326284</v>
      </c>
      <c r="C6" s="22">
        <f ca="1">ypr3/SUM(ypr1,ypr2,ypr3)</f>
        <v>0.17119033232628397</v>
      </c>
      <c r="E6" s="47">
        <v>7083</v>
      </c>
      <c r="F6" s="47">
        <f ca="1">ye_3</f>
        <v>7391.1116917764475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0.28782607909531416</v>
      </c>
      <c r="J7" t="s">
        <v>7</v>
      </c>
      <c r="K7" s="1">
        <f>1</f>
        <v>1</v>
      </c>
      <c r="L7" s="1">
        <f ca="1">K7*EXP(-K8)</f>
        <v>0.86049392003002412</v>
      </c>
      <c r="M7" s="1">
        <f t="shared" ref="M7:AH7" ca="1" si="3">L7*EXP(-L8)</f>
        <v>0.73826902194760313</v>
      </c>
      <c r="N7" s="1">
        <f t="shared" ca="1" si="3"/>
        <v>0.62165959207279775</v>
      </c>
      <c r="O7" s="1">
        <f t="shared" ca="1" si="3"/>
        <v>0.516541417580341</v>
      </c>
      <c r="P7" s="1">
        <f t="shared" ca="1" si="3"/>
        <v>0.42966840227605602</v>
      </c>
      <c r="Q7" s="1">
        <f t="shared" ca="1" si="3"/>
        <v>0.3582527981353929</v>
      </c>
      <c r="R7" s="1">
        <f t="shared" ca="1" si="3"/>
        <v>0.2992861850209938</v>
      </c>
      <c r="S7" s="1">
        <f t="shared" ca="1" si="3"/>
        <v>0.25035652633279837</v>
      </c>
      <c r="T7" s="1">
        <f t="shared" ca="1" si="3"/>
        <v>0.20881802419631326</v>
      </c>
      <c r="U7" s="1">
        <f t="shared" ca="1" si="3"/>
        <v>0.17070237051142961</v>
      </c>
      <c r="V7" s="1">
        <f t="shared" ca="1" si="3"/>
        <v>0.13563160136566618</v>
      </c>
      <c r="W7" s="1">
        <f t="shared" ca="1" si="3"/>
        <v>0.10455032009700965</v>
      </c>
      <c r="X7" s="1">
        <f t="shared" ca="1" si="3"/>
        <v>7.7747920727656017E-2</v>
      </c>
      <c r="Y7" s="1">
        <f t="shared" ca="1" si="3"/>
        <v>5.6112379033366737E-2</v>
      </c>
      <c r="Z7" s="1">
        <f t="shared" ca="1" si="3"/>
        <v>3.98334276491593E-2</v>
      </c>
      <c r="AA7" s="1">
        <f t="shared" ca="1" si="3"/>
        <v>2.8003719845219162E-2</v>
      </c>
      <c r="AB7" s="1">
        <f t="shared" ca="1" si="3"/>
        <v>1.9606195819921159E-2</v>
      </c>
      <c r="AC7" s="1">
        <f t="shared" ca="1" si="3"/>
        <v>1.370405935156848E-2</v>
      </c>
      <c r="AD7" s="1">
        <f t="shared" ca="1" si="3"/>
        <v>9.5723910555549768E-3</v>
      </c>
      <c r="AE7" s="1">
        <f t="shared" ca="1" si="3"/>
        <v>6.6846783485982279E-3</v>
      </c>
      <c r="AF7" s="1">
        <f t="shared" ca="1" si="3"/>
        <v>4.6676429831546259E-3</v>
      </c>
      <c r="AG7" s="1">
        <f t="shared" ca="1" si="3"/>
        <v>3.2591054947385466E-3</v>
      </c>
      <c r="AH7" s="1">
        <f t="shared" ca="1" si="3"/>
        <v>2.2755861056062885E-3</v>
      </c>
      <c r="AI7" s="1">
        <f ca="1">AH7*EXP(-AH8)/(1-EXP(-AI8))</f>
        <v>5.2649796633715855E-3</v>
      </c>
    </row>
    <row r="8" spans="1:35">
      <c r="A8" s="5"/>
      <c r="B8" s="26"/>
      <c r="C8" s="26"/>
      <c r="E8" t="s">
        <v>111</v>
      </c>
      <c r="F8">
        <f ca="1">SUMXMY2(E4:E6,F4:F6)</f>
        <v>1439613.446548803</v>
      </c>
      <c r="J8" t="s">
        <v>11</v>
      </c>
      <c r="K8" s="1">
        <f ca="1">M+f1_*flt1_ +f2_*flt2_ +f3_*flt3_</f>
        <v>0.15024872898011343</v>
      </c>
      <c r="L8" s="1">
        <f t="shared" ref="L8:AI8" ca="1" si="4">M+f1_*flt1_ +f2_*flt2_ +f3_*flt3_</f>
        <v>0.15319826344159462</v>
      </c>
      <c r="M8" s="1">
        <f t="shared" ca="1" si="4"/>
        <v>0.1719156232591329</v>
      </c>
      <c r="N8" s="1">
        <f t="shared" ca="1" si="4"/>
        <v>0.18523718903044281</v>
      </c>
      <c r="O8" s="1">
        <f t="shared" ca="1" si="4"/>
        <v>0.18414172057568562</v>
      </c>
      <c r="P8" s="1">
        <f t="shared" ca="1" si="4"/>
        <v>0.18177487645104415</v>
      </c>
      <c r="Q8" s="1">
        <f t="shared" ca="1" si="4"/>
        <v>0.17983862108192633</v>
      </c>
      <c r="R8" s="1">
        <f t="shared" ca="1" si="4"/>
        <v>0.17851424889120465</v>
      </c>
      <c r="S8" s="1">
        <f t="shared" ca="1" si="4"/>
        <v>0.18142283220882729</v>
      </c>
      <c r="T8" s="1">
        <f t="shared" ca="1" si="4"/>
        <v>0.20154165835509097</v>
      </c>
      <c r="U8" s="1">
        <f t="shared" ca="1" si="4"/>
        <v>0.22997911993297615</v>
      </c>
      <c r="V8" s="1">
        <f t="shared" ca="1" si="4"/>
        <v>0.26027390923977423</v>
      </c>
      <c r="W8" s="1">
        <f t="shared" ca="1" si="4"/>
        <v>0.29619667988523751</v>
      </c>
      <c r="X8" s="1">
        <f t="shared" ca="1" si="4"/>
        <v>0.32611535933098695</v>
      </c>
      <c r="Y8" s="1">
        <f t="shared" ca="1" si="4"/>
        <v>0.3426499978561251</v>
      </c>
      <c r="Z8" s="1">
        <f t="shared" ca="1" si="4"/>
        <v>0.3523690974957942</v>
      </c>
      <c r="AA8" s="1">
        <f t="shared" ca="1" si="4"/>
        <v>0.3564917234216945</v>
      </c>
      <c r="AB8" s="1">
        <f t="shared" ca="1" si="4"/>
        <v>0.35815353756528495</v>
      </c>
      <c r="AC8" s="1">
        <f t="shared" ca="1" si="4"/>
        <v>0.35880906865611145</v>
      </c>
      <c r="AD8" s="1">
        <f t="shared" ca="1" si="4"/>
        <v>0.3590649293197003</v>
      </c>
      <c r="AE8" s="1">
        <f t="shared" ca="1" si="4"/>
        <v>0.35916386426175012</v>
      </c>
      <c r="AF8" s="1">
        <f t="shared" ca="1" si="4"/>
        <v>0.35920146013133941</v>
      </c>
      <c r="AG8" s="1">
        <f t="shared" ca="1" si="4"/>
        <v>0.35921512155006657</v>
      </c>
      <c r="AH8" s="1">
        <f t="shared" ca="1" si="4"/>
        <v>0.35921945003318939</v>
      </c>
      <c r="AI8" s="1">
        <f t="shared" ca="1" si="4"/>
        <v>0.35922014017901976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0.86049392003002412</v>
      </c>
      <c r="L10" s="1">
        <f t="shared" ca="1" si="5"/>
        <v>0.85795960292414808</v>
      </c>
      <c r="M10" s="1">
        <f t="shared" ca="1" si="5"/>
        <v>0.84205021962430193</v>
      </c>
      <c r="N10" s="1">
        <f t="shared" ca="1" si="5"/>
        <v>0.83090717840939043</v>
      </c>
      <c r="O10" s="1">
        <f t="shared" ca="1" si="5"/>
        <v>0.83181790975982473</v>
      </c>
      <c r="P10" s="1">
        <f t="shared" ca="1" si="5"/>
        <v>0.8337890248332025</v>
      </c>
      <c r="Q10" s="1">
        <f t="shared" ca="1" si="5"/>
        <v>0.8354050172914097</v>
      </c>
      <c r="R10" s="1">
        <f t="shared" ca="1" si="5"/>
        <v>0.83651213742203567</v>
      </c>
      <c r="S10" s="1">
        <f t="shared" ca="1" si="5"/>
        <v>0.83408260713256555</v>
      </c>
      <c r="T10" s="1">
        <f t="shared" ca="1" si="5"/>
        <v>0.81746952241512216</v>
      </c>
      <c r="U10" s="1">
        <f t="shared" ca="1" si="5"/>
        <v>0.79455019259140747</v>
      </c>
      <c r="V10" s="1">
        <f t="shared" ca="1" si="5"/>
        <v>0.77084041657179425</v>
      </c>
      <c r="W10" s="1">
        <f t="shared" ca="1" si="5"/>
        <v>0.74364115437920852</v>
      </c>
      <c r="X10" s="1">
        <f t="shared" ca="1" si="5"/>
        <v>0.72172192527081669</v>
      </c>
      <c r="Y10" s="1">
        <f t="shared" ca="1" si="5"/>
        <v>0.7098866299265747</v>
      </c>
      <c r="Z10" s="1">
        <f t="shared" ca="1" si="5"/>
        <v>0.70302059094355118</v>
      </c>
      <c r="AA10" s="1">
        <f t="shared" ca="1" si="5"/>
        <v>0.70012826611205936</v>
      </c>
      <c r="AB10" s="1">
        <f t="shared" ca="1" si="5"/>
        <v>0.69896574926811006</v>
      </c>
      <c r="AC10" s="1">
        <f t="shared" ca="1" si="5"/>
        <v>0.69850770563536568</v>
      </c>
      <c r="AD10" s="1">
        <f t="shared" ca="1" si="5"/>
        <v>0.69832900785212138</v>
      </c>
      <c r="AE10" s="1">
        <f t="shared" ca="1" si="5"/>
        <v>0.69825992212975019</v>
      </c>
      <c r="AF10" s="1">
        <f t="shared" ca="1" si="5"/>
        <v>0.69823367093424971</v>
      </c>
      <c r="AG10" s="1">
        <f t="shared" ca="1" si="5"/>
        <v>0.69822413213685852</v>
      </c>
      <c r="AH10" s="1">
        <f t="shared" ca="1" si="5"/>
        <v>0.69822110989202757</v>
      </c>
      <c r="AI10" s="1">
        <f t="shared" ca="1" si="5"/>
        <v>0.69822062801780616</v>
      </c>
    </row>
    <row r="11" spans="1:35">
      <c r="A11" s="5">
        <v>1</v>
      </c>
      <c r="B11" s="25">
        <v>0.26028638242243257</v>
      </c>
      <c r="C11" s="18">
        <f ca="1">mpr1_/SUM(mpr1_,mpr2_,mpr3_)</f>
        <v>0.3155065966746845</v>
      </c>
      <c r="J11" t="s">
        <v>56</v>
      </c>
      <c r="K11" s="1">
        <f ca="1">1-sa</f>
        <v>0.13950607996997588</v>
      </c>
      <c r="L11" s="1">
        <f t="shared" ref="L11:AI11" ca="1" si="6">1-sa</f>
        <v>0.14204039707585192</v>
      </c>
      <c r="M11" s="1">
        <f t="shared" ca="1" si="6"/>
        <v>0.15794978037569807</v>
      </c>
      <c r="N11" s="1">
        <f t="shared" ca="1" si="6"/>
        <v>0.16909282159060957</v>
      </c>
      <c r="O11" s="1">
        <f t="shared" ca="1" si="6"/>
        <v>0.16818209024017527</v>
      </c>
      <c r="P11" s="1">
        <f t="shared" ca="1" si="6"/>
        <v>0.1662109751667975</v>
      </c>
      <c r="Q11" s="1">
        <f t="shared" ca="1" si="6"/>
        <v>0.1645949827085903</v>
      </c>
      <c r="R11" s="1">
        <f t="shared" ca="1" si="6"/>
        <v>0.16348786257796433</v>
      </c>
      <c r="S11" s="1">
        <f t="shared" ca="1" si="6"/>
        <v>0.16591739286743445</v>
      </c>
      <c r="T11" s="1">
        <f t="shared" ca="1" si="6"/>
        <v>0.18253047758487784</v>
      </c>
      <c r="U11" s="1">
        <f t="shared" ca="1" si="6"/>
        <v>0.20544980740859253</v>
      </c>
      <c r="V11" s="1">
        <f t="shared" ca="1" si="6"/>
        <v>0.22915958342820575</v>
      </c>
      <c r="W11" s="1">
        <f t="shared" ca="1" si="6"/>
        <v>0.25635884562079148</v>
      </c>
      <c r="X11" s="1">
        <f t="shared" ca="1" si="6"/>
        <v>0.27827807472918331</v>
      </c>
      <c r="Y11" s="1">
        <f t="shared" ca="1" si="6"/>
        <v>0.2901133700734253</v>
      </c>
      <c r="Z11" s="1">
        <f t="shared" ca="1" si="6"/>
        <v>0.29697940905644882</v>
      </c>
      <c r="AA11" s="1">
        <f t="shared" ca="1" si="6"/>
        <v>0.29987173388794064</v>
      </c>
      <c r="AB11" s="1">
        <f t="shared" ca="1" si="6"/>
        <v>0.30103425073188994</v>
      </c>
      <c r="AC11" s="1">
        <f t="shared" ca="1" si="6"/>
        <v>0.30149229436463432</v>
      </c>
      <c r="AD11" s="1">
        <f t="shared" ca="1" si="6"/>
        <v>0.30167099214787862</v>
      </c>
      <c r="AE11" s="1">
        <f t="shared" ca="1" si="6"/>
        <v>0.30174007787024981</v>
      </c>
      <c r="AF11" s="1">
        <f t="shared" ca="1" si="6"/>
        <v>0.30176632906575029</v>
      </c>
      <c r="AG11" s="1">
        <f t="shared" ca="1" si="6"/>
        <v>0.30177586786314148</v>
      </c>
      <c r="AH11" s="1">
        <f t="shared" ca="1" si="6"/>
        <v>0.30177889010797243</v>
      </c>
      <c r="AI11" s="1">
        <f t="shared" ca="1" si="6"/>
        <v>0.30177937198219384</v>
      </c>
    </row>
    <row r="12" spans="1:35">
      <c r="A12" s="5">
        <v>2</v>
      </c>
      <c r="B12" s="25">
        <v>0.55746237931999676</v>
      </c>
      <c r="C12" s="18">
        <f ca="1">mpr2_/SUM(mpr1_,mpr2_,mpr3_)</f>
        <v>0.55932014757566195</v>
      </c>
      <c r="J12" t="s">
        <v>100</v>
      </c>
      <c r="K12">
        <f>1/(1+EXP(($E18-len)/2.5))</f>
        <v>1.0507964841968157E-12</v>
      </c>
      <c r="L12">
        <f t="shared" ref="L12:AI12" si="7">1/(1+EXP(($E18-len)/2.5))</f>
        <v>6.471982579205579E-11</v>
      </c>
      <c r="M12">
        <f t="shared" si="7"/>
        <v>2.9276754613884785E-9</v>
      </c>
      <c r="N12">
        <f t="shared" si="7"/>
        <v>9.9543818494484927E-8</v>
      </c>
      <c r="O12">
        <f t="shared" si="7"/>
        <v>2.5989472585871314E-6</v>
      </c>
      <c r="P12">
        <f t="shared" si="7"/>
        <v>5.3142755506667583E-5</v>
      </c>
      <c r="Q12">
        <f t="shared" si="7"/>
        <v>8.6614705931763755E-4</v>
      </c>
      <c r="R12">
        <f>1/(1+EXP(($E18-len)/2.5))</f>
        <v>1.1342261712993584E-2</v>
      </c>
      <c r="S12">
        <f t="shared" si="7"/>
        <v>0.11120581789472024</v>
      </c>
      <c r="T12">
        <f t="shared" si="7"/>
        <v>0.53292432443877225</v>
      </c>
      <c r="U12">
        <f t="shared" si="7"/>
        <v>0.89813799556955531</v>
      </c>
      <c r="V12">
        <f t="shared" si="7"/>
        <v>0.98318236571042616</v>
      </c>
      <c r="W12">
        <f t="shared" si="7"/>
        <v>0.99703628901158825</v>
      </c>
      <c r="X12">
        <f t="shared" si="7"/>
        <v>0.99941144515793889</v>
      </c>
      <c r="Y12">
        <f t="shared" si="7"/>
        <v>0.99986830681480099</v>
      </c>
      <c r="Z12">
        <f t="shared" si="7"/>
        <v>0.99996704661561653</v>
      </c>
      <c r="AA12">
        <f t="shared" si="7"/>
        <v>0.9999908531537236</v>
      </c>
      <c r="AB12">
        <f t="shared" si="7"/>
        <v>0.99999720535369885</v>
      </c>
      <c r="AC12">
        <f t="shared" si="7"/>
        <v>0.99999906685443085</v>
      </c>
      <c r="AD12">
        <f t="shared" si="7"/>
        <v>0.99999966173922161</v>
      </c>
      <c r="AE12">
        <f t="shared" si="7"/>
        <v>0.99999986769947924</v>
      </c>
      <c r="AF12">
        <f t="shared" si="7"/>
        <v>0.99999994448542906</v>
      </c>
      <c r="AG12">
        <f t="shared" si="7"/>
        <v>0.99999997514001304</v>
      </c>
      <c r="AH12">
        <f t="shared" si="7"/>
        <v>0.99999998817700486</v>
      </c>
      <c r="AI12">
        <f t="shared" si="7"/>
        <v>0.99999999405530571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0.12517325574965357</v>
      </c>
      <c r="J13" t="s">
        <v>101</v>
      </c>
      <c r="K13">
        <f>1/(1+EXP(($E19-len)/2.5))</f>
        <v>3.3328753032680947E-33</v>
      </c>
      <c r="L13">
        <f t="shared" ref="L13:Q14" si="8">1/(1+EXP(($E19-len)/2.5))</f>
        <v>2.0527581912568216E-31</v>
      </c>
      <c r="M13">
        <f t="shared" si="8"/>
        <v>9.2858868644395625E-30</v>
      </c>
      <c r="N13">
        <f t="shared" si="8"/>
        <v>3.1572923231836263E-28</v>
      </c>
      <c r="O13">
        <f t="shared" si="8"/>
        <v>8.2432609691375605E-27</v>
      </c>
      <c r="P13">
        <f t="shared" si="8"/>
        <v>1.6856507714642921E-25</v>
      </c>
      <c r="Q13">
        <f t="shared" si="8"/>
        <v>2.7495930114080384E-24</v>
      </c>
      <c r="R13">
        <f>1/(1+EXP(($E19-len)/2.5))</f>
        <v>3.6387661689216675E-23</v>
      </c>
      <c r="S13">
        <f t="shared" ref="S13:AI13" si="9">1/(1+EXP(($E19-len)/2.5))</f>
        <v>3.9685034265923243E-22</v>
      </c>
      <c r="T13">
        <f t="shared" si="9"/>
        <v>3.6189180351145236E-21</v>
      </c>
      <c r="U13">
        <f t="shared" si="9"/>
        <v>2.7966061332319943E-20</v>
      </c>
      <c r="V13">
        <f t="shared" si="9"/>
        <v>1.854255732868866E-19</v>
      </c>
      <c r="W13">
        <f t="shared" si="9"/>
        <v>1.0670273941710294E-18</v>
      </c>
      <c r="X13">
        <f t="shared" si="9"/>
        <v>5.3858944216048309E-18</v>
      </c>
      <c r="Y13">
        <f t="shared" si="9"/>
        <v>2.4081301487700697E-17</v>
      </c>
      <c r="Z13">
        <f t="shared" si="9"/>
        <v>9.6246759931792217E-17</v>
      </c>
      <c r="AA13">
        <f t="shared" si="9"/>
        <v>3.4675689177361181E-16</v>
      </c>
      <c r="AB13">
        <f t="shared" si="9"/>
        <v>1.1349386613159704E-15</v>
      </c>
      <c r="AC13">
        <f t="shared" si="9"/>
        <v>3.3989959777415829E-15</v>
      </c>
      <c r="AD13">
        <f t="shared" si="9"/>
        <v>9.376670680047551E-15</v>
      </c>
      <c r="AE13">
        <f t="shared" si="9"/>
        <v>2.3973908458053051E-14</v>
      </c>
      <c r="AF13">
        <f t="shared" si="9"/>
        <v>5.713384363813531E-14</v>
      </c>
      <c r="AG13">
        <f t="shared" si="9"/>
        <v>1.2758497852924415E-13</v>
      </c>
      <c r="AH13">
        <f t="shared" si="9"/>
        <v>2.6827051024938425E-13</v>
      </c>
      <c r="AI13">
        <f t="shared" si="9"/>
        <v>5.3354484323075003E-13</v>
      </c>
    </row>
    <row r="14" spans="1:35">
      <c r="A14" s="27" t="s">
        <v>49</v>
      </c>
      <c r="B14" s="30">
        <v>0.4</v>
      </c>
      <c r="C14" s="29">
        <f ca="1">spr</f>
        <v>0.28782607909531416</v>
      </c>
      <c r="J14" t="s">
        <v>102</v>
      </c>
      <c r="K14">
        <f>1/(1+EXP(($E20-len)/2.5))</f>
        <v>1.0507964841968157E-12</v>
      </c>
      <c r="L14">
        <f t="shared" si="8"/>
        <v>6.471982579205579E-11</v>
      </c>
      <c r="M14">
        <f t="shared" si="8"/>
        <v>2.9276754613884785E-9</v>
      </c>
      <c r="N14">
        <f t="shared" si="8"/>
        <v>9.9543818494484927E-8</v>
      </c>
      <c r="O14">
        <f t="shared" si="8"/>
        <v>2.5989472585871314E-6</v>
      </c>
      <c r="P14">
        <f t="shared" si="8"/>
        <v>5.3142755506667583E-5</v>
      </c>
      <c r="Q14">
        <f t="shared" si="8"/>
        <v>8.6614705931763755E-4</v>
      </c>
      <c r="R14">
        <f>1/(1+EXP(($E20-len)/2.5))</f>
        <v>1.1342261712993584E-2</v>
      </c>
      <c r="S14">
        <f t="shared" ref="S14:AI14" si="10">1/(1+EXP(($E20-len)/2.5))</f>
        <v>0.11120581789472024</v>
      </c>
      <c r="T14">
        <f t="shared" si="10"/>
        <v>0.53292432443877225</v>
      </c>
      <c r="U14">
        <f t="shared" si="10"/>
        <v>0.89813799556955531</v>
      </c>
      <c r="V14">
        <f t="shared" si="10"/>
        <v>0.98318236571042616</v>
      </c>
      <c r="W14">
        <f t="shared" si="10"/>
        <v>0.99703628901158825</v>
      </c>
      <c r="X14">
        <f t="shared" si="10"/>
        <v>0.99941144515793889</v>
      </c>
      <c r="Y14">
        <f t="shared" si="10"/>
        <v>0.99986830681480099</v>
      </c>
      <c r="Z14">
        <f t="shared" si="10"/>
        <v>0.99996704661561653</v>
      </c>
      <c r="AA14">
        <f t="shared" si="10"/>
        <v>0.9999908531537236</v>
      </c>
      <c r="AB14">
        <f t="shared" si="10"/>
        <v>0.99999720535369885</v>
      </c>
      <c r="AC14">
        <f t="shared" si="10"/>
        <v>0.99999906685443085</v>
      </c>
      <c r="AD14">
        <f t="shared" si="10"/>
        <v>0.99999966173922161</v>
      </c>
      <c r="AE14">
        <f t="shared" si="10"/>
        <v>0.99999986769947924</v>
      </c>
      <c r="AF14">
        <f t="shared" si="10"/>
        <v>0.99999994448542906</v>
      </c>
      <c r="AG14">
        <f t="shared" si="10"/>
        <v>0.99999997514001304</v>
      </c>
      <c r="AH14">
        <f t="shared" si="10"/>
        <v>0.99999998817700486</v>
      </c>
      <c r="AI14">
        <f t="shared" si="10"/>
        <v>0.99999999405530571</v>
      </c>
    </row>
    <row r="15" spans="1:35">
      <c r="A15" s="5"/>
      <c r="B15" s="26" t="s">
        <v>50</v>
      </c>
      <c r="C15" s="26">
        <f ca="1">CHOOSE(C25,SUMXMY2(B14,C14),SUMXMY2(B7,C7))</f>
        <v>1.2582988531130721E-2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2.8003936235470293E-6</v>
      </c>
      <c r="L18" s="4">
        <f t="shared" ref="K18:O20" si="11">((EXP(g*(ah-age)/gh)/(1+EXP((ah-age)/gh))) *(1/(1-g))*((1-g)/g)^g) *(sr+(1-sr)*dmr)</f>
        <v>7.184437954803091E-6</v>
      </c>
      <c r="M18" s="4">
        <f t="shared" si="11"/>
        <v>1.8430957514900577E-5</v>
      </c>
      <c r="N18" s="4">
        <f t="shared" si="11"/>
        <v>4.7277601354848521E-5</v>
      </c>
      <c r="O18" s="4">
        <f t="shared" si="11"/>
        <v>1.2123999984026983E-4</v>
      </c>
      <c r="P18" s="4">
        <f t="shared" ref="P18:AI18" si="12">((EXP(g*(ah-age)/gh)/(1+EXP((ah-age)/gh))) *(1/(1-g))*((1-g)/g)^g) *(sr_1+(1-sr_1)*dmr)</f>
        <v>3.1076490198359247E-4</v>
      </c>
      <c r="Q18" s="4">
        <f t="shared" si="12"/>
        <v>7.9826815647375624E-4</v>
      </c>
      <c r="R18" s="4">
        <f t="shared" si="12"/>
        <v>2.1434873693199873E-3</v>
      </c>
      <c r="S18" s="4">
        <f t="shared" si="12"/>
        <v>8.0608993265614843E-3</v>
      </c>
      <c r="T18" s="4">
        <f t="shared" si="12"/>
        <v>4.7238369483133459E-2</v>
      </c>
      <c r="U18" s="4">
        <f t="shared" si="12"/>
        <v>0.16259344005440948</v>
      </c>
      <c r="V18" s="4">
        <f t="shared" si="12"/>
        <v>0.35181243741324714</v>
      </c>
      <c r="W18" s="4">
        <f t="shared" si="12"/>
        <v>0.58594055258696109</v>
      </c>
      <c r="X18" s="4">
        <f t="shared" si="12"/>
        <v>0.78471598524640762</v>
      </c>
      <c r="Y18" s="4">
        <f t="shared" si="12"/>
        <v>0.90354576421340882</v>
      </c>
      <c r="Z18" s="4">
        <f t="shared" si="12"/>
        <v>0.96012024191712975</v>
      </c>
      <c r="AA18" s="4">
        <f t="shared" si="12"/>
        <v>0.98411787720977195</v>
      </c>
      <c r="AB18" s="4">
        <f t="shared" si="12"/>
        <v>0.99379122872379022</v>
      </c>
      <c r="AC18" s="4">
        <f t="shared" si="12"/>
        <v>0.9976070481368039</v>
      </c>
      <c r="AD18" s="4">
        <f t="shared" si="12"/>
        <v>0.99909640249514231</v>
      </c>
      <c r="AE18" s="4">
        <f t="shared" si="12"/>
        <v>0.99967229870781915</v>
      </c>
      <c r="AF18" s="4">
        <f t="shared" si="12"/>
        <v>0.99989114271237622</v>
      </c>
      <c r="AG18" s="4">
        <f t="shared" si="12"/>
        <v>0.99997066526671052</v>
      </c>
      <c r="AH18" s="4">
        <f t="shared" si="12"/>
        <v>0.99999586118824657</v>
      </c>
      <c r="AI18" s="4">
        <f t="shared" si="12"/>
        <v>0.99999987849862959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104</v>
      </c>
      <c r="K19" s="4">
        <f t="shared" si="11"/>
        <v>5.5928315403993619E-3</v>
      </c>
      <c r="L19" s="4">
        <f t="shared" si="11"/>
        <v>7.2222309614975722E-2</v>
      </c>
      <c r="M19" s="4">
        <f t="shared" si="11"/>
        <v>0.49525952280098862</v>
      </c>
      <c r="N19" s="4">
        <f t="shared" si="11"/>
        <v>0.79571691254895771</v>
      </c>
      <c r="O19" s="4">
        <f t="shared" si="11"/>
        <v>0.76834737171329015</v>
      </c>
      <c r="P19" s="4">
        <f t="shared" ref="P19:Y19" si="13">((EXP(g*(ah-age)/gh)/(1+EXP((ah-age)/gh))) *(1/(1-g))*((1-g)/g)^g) *(sr_2+(1-sr_2)*dmr)</f>
        <v>0.70745534231686646</v>
      </c>
      <c r="Q19" s="4">
        <f t="shared" si="13"/>
        <v>0.64927927634191906</v>
      </c>
      <c r="R19" s="4">
        <f t="shared" si="13"/>
        <v>0.59575884853910321</v>
      </c>
      <c r="S19" s="4">
        <f t="shared" si="13"/>
        <v>0.54664233469302104</v>
      </c>
      <c r="T19" s="4">
        <f t="shared" si="13"/>
        <v>0.50157468951578632</v>
      </c>
      <c r="U19" s="4">
        <f t="shared" si="13"/>
        <v>0.46022259425027418</v>
      </c>
      <c r="V19" s="4">
        <f t="shared" si="13"/>
        <v>0.42227975176266147</v>
      </c>
      <c r="W19" s="4">
        <f t="shared" si="13"/>
        <v>0.38746508956210657</v>
      </c>
      <c r="X19" s="4">
        <f t="shared" si="13"/>
        <v>0.35552070635632599</v>
      </c>
      <c r="Y19" s="4">
        <f t="shared" si="13"/>
        <v>0.32620996330480656</v>
      </c>
      <c r="Z19" s="4">
        <f>Y19</f>
        <v>0.32620996330480656</v>
      </c>
      <c r="AA19" s="4">
        <f t="shared" ref="AA19:AI19" si="14">Z19</f>
        <v>0.32620996330480656</v>
      </c>
      <c r="AB19" s="4">
        <f t="shared" si="14"/>
        <v>0.32620996330480656</v>
      </c>
      <c r="AC19" s="4">
        <f t="shared" si="14"/>
        <v>0.32620996330480656</v>
      </c>
      <c r="AD19" s="4">
        <f t="shared" si="14"/>
        <v>0.32620996330480656</v>
      </c>
      <c r="AE19" s="4">
        <f t="shared" si="14"/>
        <v>0.32620996330480656</v>
      </c>
      <c r="AF19" s="4">
        <f t="shared" si="14"/>
        <v>0.32620996330480656</v>
      </c>
      <c r="AG19" s="4">
        <f t="shared" si="14"/>
        <v>0.32620996330480656</v>
      </c>
      <c r="AH19" s="4">
        <f t="shared" si="14"/>
        <v>0.32620996330480656</v>
      </c>
      <c r="AI19" s="4">
        <f t="shared" si="14"/>
        <v>0.32620996330480656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1"/>
        <v>2.2510614330475819E-5</v>
      </c>
      <c r="L20" s="4">
        <f t="shared" si="11"/>
        <v>8.0630269778116112E-5</v>
      </c>
      <c r="M20" s="4">
        <f t="shared" si="11"/>
        <v>2.8814270066622108E-4</v>
      </c>
      <c r="N20" s="4">
        <f t="shared" si="11"/>
        <v>1.0203800257651034E-3</v>
      </c>
      <c r="O20" s="4">
        <f t="shared" si="11"/>
        <v>3.4893264111853077E-3</v>
      </c>
      <c r="P20" s="4">
        <f t="shared" ref="P20:Y20" si="15">((EXP(g*(ah-age)/gh)/(1+EXP((ah-age)/gh))) *(1/(1-g))*((1-g)/g)^g) *(sr_3+(1-sr_3)*dmr)</f>
        <v>1.0579823439678015E-2</v>
      </c>
      <c r="Q20" s="4">
        <f t="shared" si="15"/>
        <v>2.3939610085227159E-2</v>
      </c>
      <c r="R20" s="4">
        <f t="shared" si="15"/>
        <v>4.3553269479507148E-2</v>
      </c>
      <c r="S20" s="4">
        <f t="shared" si="15"/>
        <v>0.14181170616279468</v>
      </c>
      <c r="T20" s="4">
        <f t="shared" si="15"/>
        <v>0.5137010690889271</v>
      </c>
      <c r="U20" s="4">
        <f t="shared" si="15"/>
        <v>0.7663337791892274</v>
      </c>
      <c r="V20" s="4">
        <f t="shared" si="15"/>
        <v>0.75342596597802869</v>
      </c>
      <c r="W20" s="4">
        <f t="shared" si="15"/>
        <v>0.68671195971404642</v>
      </c>
      <c r="X20" s="4">
        <f t="shared" si="15"/>
        <v>0.61860355419262658</v>
      </c>
      <c r="Y20" s="4">
        <f t="shared" si="15"/>
        <v>0.55614319737112494</v>
      </c>
      <c r="Z20" s="4">
        <f>Y20</f>
        <v>0.55614319737112494</v>
      </c>
      <c r="AA20" s="4">
        <f t="shared" ref="AA20:AI20" si="16">Z20</f>
        <v>0.55614319737112494</v>
      </c>
      <c r="AB20" s="4">
        <f t="shared" si="16"/>
        <v>0.55614319737112494</v>
      </c>
      <c r="AC20" s="4">
        <f t="shared" si="16"/>
        <v>0.55614319737112494</v>
      </c>
      <c r="AD20" s="4">
        <f t="shared" si="16"/>
        <v>0.55614319737112494</v>
      </c>
      <c r="AE20" s="4">
        <f t="shared" si="16"/>
        <v>0.55614319737112494</v>
      </c>
      <c r="AF20" s="4">
        <f t="shared" si="16"/>
        <v>0.55614319737112494</v>
      </c>
      <c r="AG20" s="4">
        <f t="shared" si="16"/>
        <v>0.55614319737112494</v>
      </c>
      <c r="AH20" s="4">
        <f t="shared" si="16"/>
        <v>0.55614319737112494</v>
      </c>
      <c r="AI20" s="4">
        <f t="shared" si="16"/>
        <v>0.55614319737112494</v>
      </c>
    </row>
    <row r="21" spans="1:39">
      <c r="A21" t="s">
        <v>42</v>
      </c>
      <c r="B21" s="1">
        <f>Bo/phie</f>
        <v>25035.011356817507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SAA!linf</f>
        <v>150.58220121472218</v>
      </c>
      <c r="J22" s="8" t="s">
        <v>23</v>
      </c>
      <c r="K22" s="1">
        <f t="shared" ref="K22:AI22" ca="1" si="17">wa*flt1_*(1-EXP(-za))/za</f>
        <v>7.4009679853402727E-8</v>
      </c>
      <c r="L22" s="1">
        <f t="shared" ca="1" si="17"/>
        <v>1.249576282727458E-6</v>
      </c>
      <c r="M22" s="1">
        <f t="shared" ca="1" si="17"/>
        <v>9.629497684242461E-6</v>
      </c>
      <c r="N22" s="1">
        <f t="shared" ca="1" si="17"/>
        <v>5.2987601793901156E-5</v>
      </c>
      <c r="O22" s="1">
        <f t="shared" ca="1" si="17"/>
        <v>2.4254167064980661E-4</v>
      </c>
      <c r="P22" s="1">
        <f t="shared" ca="1" si="17"/>
        <v>9.8262249203666038E-4</v>
      </c>
      <c r="Q22" s="1">
        <f t="shared" ca="1" si="17"/>
        <v>3.6643773361551566E-3</v>
      </c>
      <c r="R22" s="1">
        <f t="shared" ca="1" si="17"/>
        <v>1.3420009672702054E-2</v>
      </c>
      <c r="S22" s="1">
        <f t="shared" ca="1" si="17"/>
        <v>6.5513288681351783E-2</v>
      </c>
      <c r="T22" s="1">
        <f t="shared" ca="1" si="17"/>
        <v>0.47618429741127166</v>
      </c>
      <c r="U22" s="1">
        <f t="shared" ca="1" si="17"/>
        <v>1.9651498790533637</v>
      </c>
      <c r="V22" s="1">
        <f t="shared" ca="1" si="17"/>
        <v>4.9706012919555072</v>
      </c>
      <c r="W22" s="1">
        <f t="shared" ca="1" si="17"/>
        <v>9.4572495942127937</v>
      </c>
      <c r="X22" s="1">
        <f t="shared" ca="1" si="17"/>
        <v>14.264208643197456</v>
      </c>
      <c r="Y22" s="1">
        <f t="shared" ca="1" si="17"/>
        <v>18.344969934014589</v>
      </c>
      <c r="Z22" s="1">
        <f t="shared" ca="1" si="17"/>
        <v>21.570367733801945</v>
      </c>
      <c r="AA22" s="1">
        <f t="shared" ca="1" si="17"/>
        <v>24.263422022682608</v>
      </c>
      <c r="AB22" s="1">
        <f t="shared" ca="1" si="17"/>
        <v>26.665098431478405</v>
      </c>
      <c r="AC22" s="1">
        <f t="shared" ca="1" si="17"/>
        <v>28.902124186941251</v>
      </c>
      <c r="AD22" s="1">
        <f t="shared" ca="1" si="17"/>
        <v>31.030084334032999</v>
      </c>
      <c r="AE22" s="1">
        <f t="shared" ca="1" si="17"/>
        <v>33.070177513095807</v>
      </c>
      <c r="AF22" s="1">
        <f t="shared" ca="1" si="17"/>
        <v>35.028872065963071</v>
      </c>
      <c r="AG22" s="1">
        <f t="shared" ca="1" si="17"/>
        <v>36.907025285053322</v>
      </c>
      <c r="AH22" s="1">
        <f t="shared" ca="1" si="17"/>
        <v>38.703825501492318</v>
      </c>
      <c r="AI22" s="1">
        <f t="shared" ca="1" si="17"/>
        <v>40.418389881268787</v>
      </c>
      <c r="AM22" s="43"/>
    </row>
    <row r="23" spans="1:39">
      <c r="A23" t="s">
        <v>80</v>
      </c>
      <c r="B23" s="31">
        <f>[0]!k</f>
        <v>7.785234075604705E-2</v>
      </c>
      <c r="J23" s="8" t="s">
        <v>24</v>
      </c>
      <c r="K23" s="1">
        <f t="shared" ref="K23:AI23" ca="1" si="18">wa*flt2_*(1-EXP(-za))/za</f>
        <v>1.478091037983035E-4</v>
      </c>
      <c r="L23" s="1">
        <f t="shared" ca="1" si="18"/>
        <v>1.2561495519400917E-2</v>
      </c>
      <c r="M23" s="1">
        <f ca="1">wa*flt2_*(1-EXP(-za))/za</f>
        <v>0.25875489236278409</v>
      </c>
      <c r="N23" s="1">
        <f t="shared" ca="1" si="18"/>
        <v>0.89182043281670487</v>
      </c>
      <c r="O23" s="1">
        <f t="shared" ca="1" si="18"/>
        <v>1.5370855775342156</v>
      </c>
      <c r="P23" s="1">
        <f t="shared" ca="1" si="18"/>
        <v>2.2369370769828785</v>
      </c>
      <c r="Q23" s="1">
        <f t="shared" ca="1" si="18"/>
        <v>2.9804574387288212</v>
      </c>
      <c r="R23" s="1">
        <f t="shared" ca="1" si="18"/>
        <v>3.7299447733760203</v>
      </c>
      <c r="S23" s="1">
        <f t="shared" ca="1" si="18"/>
        <v>4.4427222853642041</v>
      </c>
      <c r="T23" s="1">
        <f t="shared" ca="1" si="18"/>
        <v>5.0561015068826718</v>
      </c>
      <c r="U23" s="1">
        <f t="shared" ca="1" si="18"/>
        <v>5.5623792394447484</v>
      </c>
      <c r="V23" s="1">
        <f t="shared" ca="1" si="18"/>
        <v>5.9662026024754198</v>
      </c>
      <c r="W23" s="1">
        <f t="shared" ca="1" si="18"/>
        <v>6.2537983501133745</v>
      </c>
      <c r="X23" s="1">
        <f t="shared" ca="1" si="18"/>
        <v>6.4624929627897938</v>
      </c>
      <c r="Y23" s="1">
        <f t="shared" ca="1" si="18"/>
        <v>6.6231420764972384</v>
      </c>
      <c r="Z23" s="1">
        <f t="shared" ca="1" si="18"/>
        <v>7.32873713074164</v>
      </c>
      <c r="AA23" s="1">
        <f t="shared" ca="1" si="18"/>
        <v>8.0427052398532872</v>
      </c>
      <c r="AB23" s="1">
        <f t="shared" ca="1" si="18"/>
        <v>8.7527646948765998</v>
      </c>
      <c r="AC23" s="1">
        <f t="shared" ca="1" si="18"/>
        <v>9.4507761227847347</v>
      </c>
      <c r="AD23" s="1">
        <f t="shared" ca="1" si="18"/>
        <v>10.131477449694023</v>
      </c>
      <c r="AE23" s="1">
        <f t="shared" ca="1" si="18"/>
        <v>10.791357734904537</v>
      </c>
      <c r="AF23" s="1">
        <f t="shared" ca="1" si="18"/>
        <v>11.428011093537151</v>
      </c>
      <c r="AG23" s="1">
        <f t="shared" ca="1" si="18"/>
        <v>12.039792548030071</v>
      </c>
      <c r="AH23" s="1">
        <f t="shared" ca="1" si="18"/>
        <v>12.6256257516857</v>
      </c>
      <c r="AI23" s="1">
        <f t="shared" ca="1" si="18"/>
        <v>13.184883081989419</v>
      </c>
      <c r="AM23" s="43"/>
    </row>
    <row r="24" spans="1:39">
      <c r="A24" t="s">
        <v>127</v>
      </c>
      <c r="B24" s="31">
        <f>[0]!to</f>
        <v>0.16405328226882354</v>
      </c>
      <c r="J24" s="8" t="s">
        <v>25</v>
      </c>
      <c r="K24" s="1">
        <f t="shared" ref="K24:AI24" ca="1" si="19">wa*flt3_*(1-EXP(-za))/za</f>
        <v>5.9491756654971432E-7</v>
      </c>
      <c r="L24" s="1">
        <f t="shared" ca="1" si="19"/>
        <v>1.402387680407101E-5</v>
      </c>
      <c r="M24" s="1">
        <f t="shared" ca="1" si="19"/>
        <v>1.5054396748262006E-4</v>
      </c>
      <c r="N24" s="1">
        <f t="shared" ca="1" si="19"/>
        <v>1.143617462271001E-3</v>
      </c>
      <c r="O24" s="1">
        <f t="shared" ca="1" si="19"/>
        <v>6.9804277328139519E-3</v>
      </c>
      <c r="P24" s="1">
        <f t="shared" ca="1" si="19"/>
        <v>3.3452852645995276E-2</v>
      </c>
      <c r="Q24" s="1">
        <f t="shared" ca="1" si="19"/>
        <v>0.10989260177958986</v>
      </c>
      <c r="R24" s="1">
        <f t="shared" ca="1" si="19"/>
        <v>0.27267960896742338</v>
      </c>
      <c r="S24" s="1">
        <f t="shared" ca="1" si="19"/>
        <v>1.1525452518213308</v>
      </c>
      <c r="T24" s="1">
        <f t="shared" ca="1" si="19"/>
        <v>5.1783409406387451</v>
      </c>
      <c r="U24" s="1">
        <f t="shared" ca="1" si="19"/>
        <v>9.2621248002642051</v>
      </c>
      <c r="V24" s="1">
        <f t="shared" ca="1" si="19"/>
        <v>10.644820028020424</v>
      </c>
      <c r="W24" s="1">
        <f t="shared" ca="1" si="19"/>
        <v>11.083729183231236</v>
      </c>
      <c r="X24" s="1">
        <f t="shared" ca="1" si="19"/>
        <v>11.244692768245763</v>
      </c>
      <c r="Y24" s="1">
        <f t="shared" ca="1" si="19"/>
        <v>11.291547853873082</v>
      </c>
      <c r="Z24" s="1">
        <f t="shared" ca="1" si="19"/>
        <v>12.494490540053608</v>
      </c>
      <c r="AA24" s="1">
        <f t="shared" ca="1" si="19"/>
        <v>13.711708135125502</v>
      </c>
      <c r="AB24" s="1">
        <f t="shared" ca="1" si="19"/>
        <v>14.922262011652194</v>
      </c>
      <c r="AC24" s="1">
        <f t="shared" ca="1" si="19"/>
        <v>16.112275656194651</v>
      </c>
      <c r="AD24" s="1">
        <f t="shared" ca="1" si="19"/>
        <v>17.272777955287125</v>
      </c>
      <c r="AE24" s="1">
        <f t="shared" ca="1" si="19"/>
        <v>18.397783237103841</v>
      </c>
      <c r="AF24" s="1">
        <f t="shared" ca="1" si="19"/>
        <v>19.48318979826448</v>
      </c>
      <c r="AG24" s="1">
        <f t="shared" ca="1" si="19"/>
        <v>20.526193177888832</v>
      </c>
      <c r="AH24" s="1">
        <f t="shared" ca="1" si="19"/>
        <v>21.524958352644642</v>
      </c>
      <c r="AI24" s="1">
        <f t="shared" ca="1" si="19"/>
        <v>22.478415312319811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F26" t="s">
        <v>143</v>
      </c>
      <c r="J26" s="8" t="s">
        <v>30</v>
      </c>
      <c r="K26">
        <f ca="1">qa1_/wa</f>
        <v>2.600167997731753E-6</v>
      </c>
      <c r="L26">
        <f t="shared" ref="L26:AI26" ca="1" si="20">qa1_/wa</f>
        <v>6.6611748523905479E-6</v>
      </c>
      <c r="M26">
        <f t="shared" ca="1" si="20"/>
        <v>1.6933688959753775E-5</v>
      </c>
      <c r="N26">
        <f t="shared" ca="1" si="20"/>
        <v>4.3157116845546266E-5</v>
      </c>
      <c r="O26">
        <f t="shared" ca="1" si="20"/>
        <v>1.1073208466885303E-4</v>
      </c>
      <c r="P26">
        <f t="shared" ca="1" si="20"/>
        <v>2.8415663602565161E-4</v>
      </c>
      <c r="Q26">
        <f t="shared" ca="1" si="20"/>
        <v>7.3060465333394872E-4</v>
      </c>
      <c r="R26">
        <f t="shared" ca="1" si="20"/>
        <v>1.9630599274266343E-3</v>
      </c>
      <c r="S26">
        <f t="shared" ca="1" si="20"/>
        <v>7.3719684790857594E-3</v>
      </c>
      <c r="T26">
        <f t="shared" ca="1" si="20"/>
        <v>4.2782431247517141E-2</v>
      </c>
      <c r="U26">
        <f t="shared" ca="1" si="20"/>
        <v>0.14525140784439158</v>
      </c>
      <c r="V26">
        <f t="shared" ca="1" si="20"/>
        <v>0.30975517998698099</v>
      </c>
      <c r="W26">
        <f t="shared" ca="1" si="20"/>
        <v>0.50713277313507299</v>
      </c>
      <c r="X26">
        <f t="shared" ca="1" si="20"/>
        <v>0.66960738688162569</v>
      </c>
      <c r="Y26">
        <f t="shared" ca="1" si="20"/>
        <v>0.76501009283994292</v>
      </c>
      <c r="Z26">
        <f t="shared" ca="1" si="20"/>
        <v>0.80919678852112509</v>
      </c>
      <c r="AA26">
        <f t="shared" ca="1" si="20"/>
        <v>0.8278148265448757</v>
      </c>
      <c r="AB26">
        <f t="shared" ca="1" si="20"/>
        <v>0.83529873795608678</v>
      </c>
      <c r="AC26">
        <f t="shared" ca="1" si="20"/>
        <v>0.83824759207900335</v>
      </c>
      <c r="AD26">
        <f t="shared" ca="1" si="20"/>
        <v>0.83939805417122781</v>
      </c>
      <c r="AE26">
        <f t="shared" ca="1" si="20"/>
        <v>0.83984283295548912</v>
      </c>
      <c r="AF26">
        <f t="shared" ca="1" si="20"/>
        <v>0.84001184040662136</v>
      </c>
      <c r="AG26">
        <f t="shared" ca="1" si="20"/>
        <v>0.84007325205680372</v>
      </c>
      <c r="AH26">
        <f t="shared" ca="1" si="20"/>
        <v>0.8400927095514259</v>
      </c>
      <c r="AI26">
        <f t="shared" ca="1" si="20"/>
        <v>0.84009581190295413</v>
      </c>
      <c r="AM26" s="44"/>
    </row>
    <row r="27" spans="1:39">
      <c r="A27" t="s">
        <v>14</v>
      </c>
      <c r="B27" s="28">
        <f ca="1">fbar*C27</f>
        <v>0.17179300692032404</v>
      </c>
      <c r="C27" s="36">
        <f ca="1">CHOOSE(C$25,E36,E39,1)</f>
        <v>2.0024574956102814</v>
      </c>
      <c r="E27" s="42">
        <f ca="1">f1_/(F4/(f1_*365*re*phib))</f>
        <v>483.0416626090028</v>
      </c>
      <c r="F27" s="109">
        <f ca="1">F4/E27</f>
        <v>53.957051161640429</v>
      </c>
      <c r="J27" s="8" t="s">
        <v>31</v>
      </c>
      <c r="K27">
        <f t="shared" ref="K27:AI27" ca="1" si="21">qa2_/wa</f>
        <v>5.1929491146432711E-3</v>
      </c>
      <c r="L27">
        <f t="shared" ca="1" si="21"/>
        <v>6.6962152866420835E-2</v>
      </c>
      <c r="M27">
        <f t="shared" ca="1" si="21"/>
        <v>0.45502631681983252</v>
      </c>
      <c r="N27">
        <f t="shared" ca="1" si="21"/>
        <v>0.72636611813494401</v>
      </c>
      <c r="O27">
        <f t="shared" ca="1" si="21"/>
        <v>0.70175442371938379</v>
      </c>
      <c r="P27">
        <f t="shared" ca="1" si="21"/>
        <v>0.6468817068079018</v>
      </c>
      <c r="Q27">
        <f t="shared" ca="1" si="21"/>
        <v>0.59424449887135156</v>
      </c>
      <c r="R27">
        <f t="shared" ca="1" si="21"/>
        <v>0.54561101628882913</v>
      </c>
      <c r="S27">
        <f t="shared" ca="1" si="21"/>
        <v>0.49992313480607542</v>
      </c>
      <c r="T27">
        <f t="shared" ca="1" si="21"/>
        <v>0.45426175595171031</v>
      </c>
      <c r="U27">
        <f t="shared" ca="1" si="21"/>
        <v>0.41113577346220631</v>
      </c>
      <c r="V27">
        <f t="shared" ca="1" si="21"/>
        <v>0.37179851137114911</v>
      </c>
      <c r="W27">
        <f t="shared" ca="1" si="21"/>
        <v>0.33535184498686493</v>
      </c>
      <c r="X27">
        <f t="shared" ca="1" si="21"/>
        <v>0.30337000346796361</v>
      </c>
      <c r="Y27">
        <f t="shared" ca="1" si="21"/>
        <v>0.27619399503286507</v>
      </c>
      <c r="Z27">
        <f t="shared" ca="1" si="21"/>
        <v>0.27493228781716195</v>
      </c>
      <c r="AA27">
        <f t="shared" ca="1" si="21"/>
        <v>0.27439949059356161</v>
      </c>
      <c r="AB27">
        <f t="shared" ca="1" si="21"/>
        <v>0.27418512337558471</v>
      </c>
      <c r="AC27">
        <f t="shared" ca="1" si="21"/>
        <v>0.27410062585577893</v>
      </c>
      <c r="AD27">
        <f t="shared" ca="1" si="21"/>
        <v>0.27406765529881244</v>
      </c>
      <c r="AE27">
        <f t="shared" ca="1" si="21"/>
        <v>0.27405490786765163</v>
      </c>
      <c r="AF27">
        <f t="shared" ca="1" si="21"/>
        <v>0.27405006398128501</v>
      </c>
      <c r="AG27">
        <f t="shared" ca="1" si="21"/>
        <v>0.27404830386070173</v>
      </c>
      <c r="AH27">
        <f t="shared" ca="1" si="21"/>
        <v>0.27404774618743905</v>
      </c>
      <c r="AI27">
        <f t="shared" ca="1" si="21"/>
        <v>0.27404765727055025</v>
      </c>
    </row>
    <row r="28" spans="1:39">
      <c r="A28" t="s">
        <v>15</v>
      </c>
      <c r="B28" s="28">
        <f ca="1">fbar*C28</f>
        <v>4.4220329706368744E-2</v>
      </c>
      <c r="C28" s="36">
        <f ca="1">CHOOSE(C$25,E37,E40,1)</f>
        <v>0.51544199770567156</v>
      </c>
      <c r="E28" s="42">
        <f ca="1">f2_/(F5/(f2_*365*re*phib))</f>
        <v>85.817329383935444</v>
      </c>
      <c r="F28" s="109">
        <f t="shared" ref="F28:F29" ca="1" si="22">F5/E28</f>
        <v>113.26621484389214</v>
      </c>
      <c r="J28" s="8" t="s">
        <v>32</v>
      </c>
      <c r="K28">
        <f t="shared" ref="K28:AI28" ca="1" si="23">qa3_/wa</f>
        <v>2.0901125648632255E-5</v>
      </c>
      <c r="L28">
        <f t="shared" ca="1" si="23"/>
        <v>7.4757737315886273E-5</v>
      </c>
      <c r="M28">
        <f t="shared" ca="1" si="23"/>
        <v>2.6473496372396936E-4</v>
      </c>
      <c r="N28">
        <f t="shared" ca="1" si="23"/>
        <v>9.314486931831183E-4</v>
      </c>
      <c r="O28">
        <f t="shared" ca="1" si="23"/>
        <v>3.1869052137057205E-3</v>
      </c>
      <c r="P28">
        <f t="shared" ca="1" si="23"/>
        <v>9.6739593795021582E-3</v>
      </c>
      <c r="Q28">
        <f t="shared" ca="1" si="23"/>
        <v>2.1910419932731344E-2</v>
      </c>
      <c r="R28">
        <f t="shared" ca="1" si="23"/>
        <v>3.9887185363148538E-2</v>
      </c>
      <c r="S28">
        <f t="shared" ca="1" si="23"/>
        <v>0.12969166161803947</v>
      </c>
      <c r="T28">
        <f t="shared" ca="1" si="23"/>
        <v>0.4652442688124564</v>
      </c>
      <c r="U28">
        <f t="shared" ca="1" si="23"/>
        <v>0.68459748602834047</v>
      </c>
      <c r="V28">
        <f t="shared" ca="1" si="23"/>
        <v>0.66335800238994536</v>
      </c>
      <c r="W28">
        <f t="shared" ca="1" si="23"/>
        <v>0.59435063665971388</v>
      </c>
      <c r="X28">
        <f t="shared" ca="1" si="23"/>
        <v>0.52786169420078988</v>
      </c>
      <c r="Y28">
        <f t="shared" ca="1" si="23"/>
        <v>0.47087283888002229</v>
      </c>
      <c r="Z28">
        <f t="shared" ca="1" si="23"/>
        <v>0.46872180131520191</v>
      </c>
      <c r="AA28">
        <f t="shared" ca="1" si="23"/>
        <v>0.46781345520436685</v>
      </c>
      <c r="AB28">
        <f t="shared" ca="1" si="23"/>
        <v>0.46744798853127861</v>
      </c>
      <c r="AC28">
        <f t="shared" ca="1" si="23"/>
        <v>0.46730393186189112</v>
      </c>
      <c r="AD28">
        <f t="shared" ca="1" si="23"/>
        <v>0.46724772158926592</v>
      </c>
      <c r="AE28">
        <f t="shared" ca="1" si="23"/>
        <v>0.46722598896941503</v>
      </c>
      <c r="AF28">
        <f t="shared" ca="1" si="23"/>
        <v>0.46721773080824691</v>
      </c>
      <c r="AG28">
        <f t="shared" ca="1" si="23"/>
        <v>0.46721473004432462</v>
      </c>
      <c r="AH28">
        <f t="shared" ca="1" si="23"/>
        <v>0.46721377928798286</v>
      </c>
      <c r="AI28">
        <f t="shared" ca="1" si="23"/>
        <v>0.46721362769689612</v>
      </c>
    </row>
    <row r="29" spans="1:39">
      <c r="A29" t="s">
        <v>19</v>
      </c>
      <c r="B29" s="28">
        <f ca="1">fbar*C29</f>
        <v>4.1359926921107029E-2</v>
      </c>
      <c r="C29" s="36">
        <f ca="1">CHOOSE(C$25,E38,E41,1)</f>
        <v>0.48210050668404714</v>
      </c>
      <c r="E29" s="42">
        <f ca="1">f3_/(F6/(f3_*365*re*phib))</f>
        <v>98.731602364993506</v>
      </c>
      <c r="F29" s="109">
        <f t="shared" ca="1" si="22"/>
        <v>74.860647601492346</v>
      </c>
    </row>
    <row r="30" spans="1:39">
      <c r="A30" t="s">
        <v>95</v>
      </c>
      <c r="B30" s="28">
        <v>8.5791087849266603E-2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0.25737326354779982</v>
      </c>
      <c r="G31">
        <f ca="1">SUMPRODUCT(dlz1_,wa,ma)</f>
        <v>-28.132759525503005</v>
      </c>
      <c r="H31">
        <f ca="1">Ro/(reck-1)*phie/phif^2*dphif</f>
        <v>-19348.840793262956</v>
      </c>
      <c r="J31" s="8" t="s">
        <v>52</v>
      </c>
      <c r="K31">
        <v>0</v>
      </c>
      <c r="L31">
        <f t="shared" ref="L31:AH31" ca="1" si="24">K31*sa-K$7*K18*K$10</f>
        <v>-2.409721686753067E-6</v>
      </c>
      <c r="M31">
        <f t="shared" ca="1" si="24"/>
        <v>-7.3331546576995794E-6</v>
      </c>
      <c r="N31">
        <f t="shared" ca="1" si="24"/>
        <v>-1.7550952375692997E-5</v>
      </c>
      <c r="O31">
        <f t="shared" ca="1" si="24"/>
        <v>-3.9020035743074884E-5</v>
      </c>
      <c r="P31">
        <f t="shared" ca="1" si="24"/>
        <v>-8.4627474574493135E-5</v>
      </c>
      <c r="Q31">
        <f t="shared" ca="1" si="24"/>
        <v>-1.8203061255812588E-4</v>
      </c>
      <c r="R31">
        <f t="shared" ca="1" si="24"/>
        <v>-3.9118144796201258E-4</v>
      </c>
      <c r="S31">
        <f t="shared" ca="1" si="24"/>
        <v>-8.6291369399922753E-4</v>
      </c>
      <c r="T31">
        <f t="shared" ca="1" si="24"/>
        <v>-2.3886667159369788E-3</v>
      </c>
      <c r="U31">
        <f t="shared" ca="1" si="24"/>
        <v>-9.9616172490500712E-3</v>
      </c>
      <c r="V31">
        <f t="shared" ca="1" si="24"/>
        <v>-2.9731625836118537E-2</v>
      </c>
      <c r="W31">
        <f t="shared" ca="1" si="24"/>
        <v>-5.8891763504006059E-2</v>
      </c>
      <c r="X31">
        <f t="shared" ca="1" si="24"/>
        <v>-8.8059136572354896E-2</v>
      </c>
      <c r="Y31">
        <f t="shared" ca="1" si="24"/>
        <v>-0.10654428449328124</v>
      </c>
      <c r="Z31">
        <f t="shared" ca="1" si="24"/>
        <v>-0.11089415067262359</v>
      </c>
      <c r="AA31">
        <f t="shared" ca="1" si="24"/>
        <v>-0.10452706770476476</v>
      </c>
      <c r="AB31">
        <f t="shared" ca="1" si="24"/>
        <v>-9.2355648007519289E-2</v>
      </c>
      <c r="AC31">
        <f t="shared" ca="1" si="24"/>
        <v>-7.8130105773698721E-2</v>
      </c>
      <c r="AD31">
        <f t="shared" ca="1" si="24"/>
        <v>-6.4110004032871676E-2</v>
      </c>
      <c r="AE31">
        <f t="shared" ca="1" si="24"/>
        <v>-5.1444084513652608E-2</v>
      </c>
      <c r="AF31">
        <f t="shared" ca="1" si="24"/>
        <v>-4.0586105368337053E-2</v>
      </c>
      <c r="AG31">
        <f t="shared" ca="1" si="24"/>
        <v>-3.1596948914976546E-2</v>
      </c>
      <c r="AH31">
        <f t="shared" ca="1" si="24"/>
        <v>-2.4337176092511424E-2</v>
      </c>
      <c r="AI31">
        <f ca="1">(AH31*sa-AH$7*AH18*AH$10)/oa-AH$7*AH$10*flt1_*sa/oa^2</f>
        <v>-7.3754845700729529E-2</v>
      </c>
    </row>
    <row r="32" spans="1:39">
      <c r="A32" s="12" t="s">
        <v>22</v>
      </c>
      <c r="B32" s="12"/>
      <c r="C32" s="12"/>
      <c r="G32">
        <f ca="1">SUMPRODUCT(dlz2_,wa,ma)</f>
        <v>-68.307640695913364</v>
      </c>
      <c r="H32">
        <f ca="1">Ro/(reck-1)*phie/phif^2*dphif</f>
        <v>-46979.879936431731</v>
      </c>
      <c r="J32" s="8" t="s">
        <v>53</v>
      </c>
      <c r="K32">
        <v>0</v>
      </c>
      <c r="L32">
        <f t="shared" ref="L32:AH32" ca="1" si="25">K32*sa-K$7*K19*K$10</f>
        <v>-4.8125975362658053E-3</v>
      </c>
      <c r="M32">
        <f t="shared" ca="1" si="25"/>
        <v>-5.7371942694621092E-2</v>
      </c>
      <c r="N32">
        <f t="shared" ca="1" si="25"/>
        <v>-0.35555359193888392</v>
      </c>
      <c r="O32">
        <f t="shared" ca="1" si="25"/>
        <v>-0.70677658765489104</v>
      </c>
      <c r="P32">
        <f t="shared" ca="1" si="25"/>
        <v>-0.91943714939276644</v>
      </c>
      <c r="Q32">
        <f t="shared" ca="1" si="25"/>
        <v>-1.0215502636276781</v>
      </c>
      <c r="R32">
        <f t="shared" ca="1" si="25"/>
        <v>-1.0488595121407975</v>
      </c>
      <c r="S32">
        <f t="shared" ca="1" si="25"/>
        <v>-1.0239875922544648</v>
      </c>
      <c r="T32">
        <f t="shared" ca="1" si="25"/>
        <v>-0.95122742027192453</v>
      </c>
      <c r="U32">
        <f t="shared" ca="1" si="25"/>
        <v>-0.84141791846416436</v>
      </c>
      <c r="V32">
        <f t="shared" ca="1" si="25"/>
        <v>-0.7110196662227144</v>
      </c>
      <c r="W32">
        <f t="shared" ca="1" si="25"/>
        <v>-0.57289296859345096</v>
      </c>
      <c r="X32">
        <f t="shared" ca="1" si="25"/>
        <v>-0.44359402133538772</v>
      </c>
      <c r="Y32">
        <f t="shared" ca="1" si="25"/>
        <v>-0.33485057749063191</v>
      </c>
      <c r="Z32">
        <f t="shared" ca="1" si="25"/>
        <v>-0.24840091183699034</v>
      </c>
      <c r="AA32">
        <f t="shared" ca="1" si="25"/>
        <v>-0.1830475921281936</v>
      </c>
      <c r="AB32">
        <f t="shared" ca="1" si="25"/>
        <v>-0.13433973380256956</v>
      </c>
      <c r="AC32">
        <f t="shared" ca="1" si="25"/>
        <v>-9.8307739932300686E-2</v>
      </c>
      <c r="AD32">
        <f t="shared" ca="1" si="25"/>
        <v>-7.1773755826079755E-2</v>
      </c>
      <c r="AE32">
        <f t="shared" ca="1" si="25"/>
        <v>-5.2297345832878817E-2</v>
      </c>
      <c r="AF32">
        <f t="shared" ca="1" si="25"/>
        <v>-3.8038399407263772E-2</v>
      </c>
      <c r="AG32">
        <f t="shared" ca="1" si="25"/>
        <v>-2.7622481097857095E-2</v>
      </c>
      <c r="AH32">
        <f t="shared" ca="1" si="25"/>
        <v>-2.0028918270124089E-2</v>
      </c>
      <c r="AI32">
        <f ca="1">(AH32*sa-AH$7*AH19*AH$10)/oa-AH$7*AH$10*flt2_*sa/oa^2</f>
        <v>-5.2031696575996704E-2</v>
      </c>
    </row>
    <row r="33" spans="1:35">
      <c r="A33" s="59" t="s">
        <v>130</v>
      </c>
      <c r="B33" s="60">
        <f ca="1">SUMPRODUCT(lz,wa)</f>
        <v>26.113608064295594</v>
      </c>
      <c r="C33" s="59"/>
      <c r="D33" s="61"/>
      <c r="E33" s="61"/>
      <c r="G33">
        <f ca="1">SUMPRODUCT(dlz3_,wa,ma)</f>
        <v>-36.026038340646231</v>
      </c>
      <c r="H33">
        <f ca="1">Ro/(reck-1)*phie/phif^2*dphif</f>
        <v>-24777.593525201395</v>
      </c>
      <c r="J33" s="8" t="s">
        <v>54</v>
      </c>
      <c r="K33">
        <v>0</v>
      </c>
      <c r="L33">
        <f t="shared" ref="L33:AH33" ca="1" si="26">K33*sa-K$7*K20*K$10</f>
        <v>-1.9370246767515173E-5</v>
      </c>
      <c r="M33">
        <f t="shared" ca="1" si="26"/>
        <v>-7.5837550953224245E-5</v>
      </c>
      <c r="N33">
        <f t="shared" ca="1" si="26"/>
        <v>-2.4214063923493921E-4</v>
      </c>
      <c r="O33">
        <f t="shared" ca="1" si="26"/>
        <v>-7.2848546537568641E-4</v>
      </c>
      <c r="P33">
        <f t="shared" ca="1" si="26"/>
        <v>-2.1066564898943913E-3</v>
      </c>
      <c r="Q33">
        <f t="shared" ca="1" si="26"/>
        <v>-5.5501627524103501E-3</v>
      </c>
      <c r="R33">
        <f t="shared" ca="1" si="26"/>
        <v>-1.1807573080356695E-2</v>
      </c>
      <c r="S33">
        <f t="shared" ca="1" si="26"/>
        <v>-2.0752336596097903E-2</v>
      </c>
      <c r="T33">
        <f t="shared" ca="1" si="26"/>
        <v>-4.6577242975032941E-2</v>
      </c>
      <c r="U33">
        <f t="shared" ca="1" si="26"/>
        <v>-0.12469794760392475</v>
      </c>
      <c r="V33">
        <f t="shared" ca="1" si="26"/>
        <v>-0.20006129552869489</v>
      </c>
      <c r="W33">
        <f t="shared" ca="1" si="26"/>
        <v>-0.22754473866596026</v>
      </c>
      <c r="X33">
        <f t="shared" ca="1" si="26"/>
        <v>-0.21761445388182268</v>
      </c>
      <c r="Y33">
        <f t="shared" ca="1" si="26"/>
        <v>-0.1891929083937236</v>
      </c>
      <c r="Z33">
        <f t="shared" ca="1" si="26"/>
        <v>-0.15515960007633953</v>
      </c>
      <c r="AA33">
        <f t="shared" ca="1" si="26"/>
        <v>-0.12420570006509354</v>
      </c>
      <c r="AB33">
        <f t="shared" ca="1" si="26"/>
        <v>-9.7719382640943597E-2</v>
      </c>
      <c r="AC33">
        <f t="shared" ca="1" si="26"/>
        <v>-7.587916114937486E-2</v>
      </c>
      <c r="AD33">
        <f t="shared" ca="1" si="26"/>
        <v>-5.8312239490217278E-2</v>
      </c>
      <c r="AE33">
        <f t="shared" ca="1" si="26"/>
        <v>-4.443473819583741E-2</v>
      </c>
      <c r="AF33">
        <f t="shared" ca="1" si="26"/>
        <v>-3.3621708260320383E-2</v>
      </c>
      <c r="AG33">
        <f t="shared" ca="1" si="26"/>
        <v>-2.5288017421434546E-2</v>
      </c>
      <c r="AH33">
        <f t="shared" ca="1" si="26"/>
        <v>-1.8922179323628146E-2</v>
      </c>
      <c r="AI33">
        <f ca="1">(AH33*sa-AH$7*AH20*AH$10)/oa-AH$7*AH$10*flt3_*sa/oa^2</f>
        <v>-5.3482577185040105E-2</v>
      </c>
    </row>
    <row r="34" spans="1:35">
      <c r="A34" t="s">
        <v>28</v>
      </c>
      <c r="B34" s="1">
        <f>SUMPRODUCT(lx,wa,ma)</f>
        <v>39.944060170265551</v>
      </c>
      <c r="G34" t="s">
        <v>57</v>
      </c>
      <c r="J34" s="8"/>
    </row>
    <row r="35" spans="1:35">
      <c r="A35" t="s">
        <v>27</v>
      </c>
      <c r="B35" s="1">
        <f ca="1">SUMPRODUCT(lz,wa,ma)</f>
        <v>11.496942221954841</v>
      </c>
      <c r="F35" s="37"/>
      <c r="G35" s="1">
        <f ca="1">SUM(dqa11_)</f>
        <v>347.51806107519315</v>
      </c>
      <c r="H35" s="1">
        <f ca="1">SUM(dqa12_)</f>
        <v>349.12294164888931</v>
      </c>
      <c r="I35" s="11">
        <f ca="1">SUM(dqa13_)</f>
        <v>348.19585014621782</v>
      </c>
      <c r="J35" s="8" t="s">
        <v>62</v>
      </c>
      <c r="K35">
        <f ca="1">flt1_*qa1_+lz*wa*flt1_^2/za*(sa-oa/za)</f>
        <v>1.0622214077139145E-13</v>
      </c>
      <c r="L35">
        <f t="shared" ref="L35:AI35" ca="1" si="27">flt1_*qa1_+lz*wa*flt1_^2/za*(sa-oa/za)</f>
        <v>5.2135437180550652E-12</v>
      </c>
      <c r="M35">
        <f t="shared" ca="1" si="27"/>
        <v>1.1384278285493121E-10</v>
      </c>
      <c r="N35">
        <f t="shared" ca="1" si="27"/>
        <v>1.7504846647862755E-9</v>
      </c>
      <c r="O35">
        <f t="shared" ca="1" si="27"/>
        <v>2.2044057869673642E-8</v>
      </c>
      <c r="P35">
        <f t="shared" ca="1" si="27"/>
        <v>2.4174822146516144E-7</v>
      </c>
      <c r="Q35">
        <f t="shared" ca="1" si="27"/>
        <v>2.4168797525846424E-6</v>
      </c>
      <c r="R35">
        <f t="shared" ca="1" si="27"/>
        <v>2.4589048114824406E-5</v>
      </c>
      <c r="S35">
        <f t="shared" ca="1" si="27"/>
        <v>4.6398764642777677E-4</v>
      </c>
      <c r="T35">
        <f t="shared" ca="1" si="27"/>
        <v>2.0224412305639327E-2</v>
      </c>
      <c r="U35">
        <f t="shared" ca="1" si="27"/>
        <v>0.29329341790702151</v>
      </c>
      <c r="V35">
        <f t="shared" ca="1" si="27"/>
        <v>1.6352671024699272</v>
      </c>
      <c r="W35">
        <f t="shared" ca="1" si="27"/>
        <v>5.2659885639004038</v>
      </c>
      <c r="X35">
        <f t="shared" ca="1" si="27"/>
        <v>10.781831207547755</v>
      </c>
      <c r="Y35">
        <f t="shared" ca="1" si="27"/>
        <v>16.13698012481386</v>
      </c>
      <c r="Z35">
        <f t="shared" ca="1" si="27"/>
        <v>20.321842727652449</v>
      </c>
      <c r="AA35">
        <f t="shared" ca="1" si="27"/>
        <v>23.563552821430072</v>
      </c>
      <c r="AB35">
        <f t="shared" ca="1" si="27"/>
        <v>26.25523699978579</v>
      </c>
      <c r="AC35">
        <f t="shared" ca="1" si="27"/>
        <v>28.647187849445441</v>
      </c>
      <c r="AD35">
        <f t="shared" ca="1" si="27"/>
        <v>30.862524539216299</v>
      </c>
      <c r="AE35">
        <f t="shared" ca="1" si="27"/>
        <v>32.955445001145897</v>
      </c>
      <c r="AF35">
        <f t="shared" ca="1" si="27"/>
        <v>34.948199846528418</v>
      </c>
      <c r="AG35">
        <f t="shared" ca="1" si="27"/>
        <v>36.849395271211314</v>
      </c>
      <c r="AH35">
        <f t="shared" ca="1" si="27"/>
        <v>38.662259376250375</v>
      </c>
      <c r="AI35">
        <f t="shared" ca="1" si="27"/>
        <v>40.31834055434625</v>
      </c>
    </row>
    <row r="36" spans="1:35">
      <c r="A36" t="s">
        <v>33</v>
      </c>
      <c r="B36" s="1">
        <f ca="1">SUMPRODUCT(lz,ta1_)</f>
        <v>0.33659301805031094</v>
      </c>
      <c r="C36" s="29">
        <f ca="1">B11/(phi_t1/SUM(B$36:B$38))</f>
        <v>2.4818250825764276</v>
      </c>
      <c r="E36" s="38">
        <f ca="1">C36/AVERAGE(C$36:C$38)</f>
        <v>1.7282294229760811</v>
      </c>
      <c r="G36" s="1">
        <f ca="1">SUM(dqa21_)</f>
        <v>349.12294164888931</v>
      </c>
      <c r="H36" s="1">
        <f ca="1">SUM(dqa22_)</f>
        <v>55.626043877512231</v>
      </c>
      <c r="I36" s="11">
        <f ca="1">SUM(dqa23_)</f>
        <v>348.64804324926325</v>
      </c>
      <c r="J36" s="8" t="s">
        <v>63</v>
      </c>
      <c r="K36">
        <f t="shared" ref="K36:AI36" ca="1" si="28">flt2_*qa2_+lz*wa*flt2_^2/za*(sa-oa/za)</f>
        <v>4.2368234408435921E-7</v>
      </c>
      <c r="L36">
        <f t="shared" ca="1" si="28"/>
        <v>5.2685386213410074E-4</v>
      </c>
      <c r="M36">
        <f t="shared" ca="1" si="28"/>
        <v>8.2200673724598189E-2</v>
      </c>
      <c r="N36">
        <f t="shared" ca="1" si="28"/>
        <v>0.49586632928029362</v>
      </c>
      <c r="O36">
        <f t="shared" ca="1" si="28"/>
        <v>0.88534983003277545</v>
      </c>
      <c r="P36">
        <f t="shared" ca="1" si="28"/>
        <v>1.252845224553977</v>
      </c>
      <c r="Q36">
        <f t="shared" ca="1" si="28"/>
        <v>1.5988971024472629</v>
      </c>
      <c r="R36">
        <f t="shared" ca="1" si="28"/>
        <v>1.8995068418548289</v>
      </c>
      <c r="S36">
        <f t="shared" ca="1" si="28"/>
        <v>2.1337618616824896</v>
      </c>
      <c r="T36">
        <f t="shared" ca="1" si="28"/>
        <v>2.2801180833027526</v>
      </c>
      <c r="U36">
        <f t="shared" ca="1" si="28"/>
        <v>2.349806764150431</v>
      </c>
      <c r="V36">
        <f t="shared" ca="1" si="28"/>
        <v>2.3559541680758826</v>
      </c>
      <c r="W36">
        <f t="shared" ca="1" si="28"/>
        <v>2.3027031588491438</v>
      </c>
      <c r="X36">
        <f t="shared" ca="1" si="28"/>
        <v>2.2130811017423451</v>
      </c>
      <c r="Y36">
        <f t="shared" ca="1" si="28"/>
        <v>2.1033735014184911</v>
      </c>
      <c r="Z36">
        <f t="shared" ca="1" si="28"/>
        <v>2.3458826163361133</v>
      </c>
      <c r="AA36">
        <f t="shared" ca="1" si="28"/>
        <v>2.5890531901817222</v>
      </c>
      <c r="AB36">
        <f t="shared" ca="1" si="28"/>
        <v>2.8289160983189574</v>
      </c>
      <c r="AC36">
        <f t="shared" ca="1" si="28"/>
        <v>3.0630735215080969</v>
      </c>
      <c r="AD36">
        <f t="shared" ca="1" si="28"/>
        <v>3.2901151703334461</v>
      </c>
      <c r="AE36">
        <f t="shared" ca="1" si="28"/>
        <v>3.5091853491327565</v>
      </c>
      <c r="AF36">
        <f t="shared" ca="1" si="28"/>
        <v>3.7197504987658578</v>
      </c>
      <c r="AG36">
        <f t="shared" ca="1" si="28"/>
        <v>3.9214825618182201</v>
      </c>
      <c r="AH36">
        <f t="shared" ca="1" si="28"/>
        <v>4.1141987491469676</v>
      </c>
      <c r="AI36">
        <f t="shared" ca="1" si="28"/>
        <v>4.2903942033103499</v>
      </c>
    </row>
    <row r="37" spans="1:35">
      <c r="A37" t="s">
        <v>34</v>
      </c>
      <c r="B37" s="1">
        <f ca="1">SUMPRODUCT(lz,ta2_)</f>
        <v>2.3181451604749523</v>
      </c>
      <c r="C37" s="29">
        <f ca="1">B12/(phi_t2/SUM(B$36:B$38))</f>
        <v>0.77179109192616802</v>
      </c>
      <c r="E37" s="38">
        <f ca="1">C37/AVERAGE(C$36:C$38)</f>
        <v>0.53744000043426332</v>
      </c>
      <c r="G37" s="1">
        <f ca="1">SUM(dqa31_)</f>
        <v>348.19585014621782</v>
      </c>
      <c r="H37" s="1">
        <f ca="1">SUM(dqa32_)</f>
        <v>348.64804324926325</v>
      </c>
      <c r="I37" s="1">
        <f ca="1">SUM(dqa33_)</f>
        <v>134.47959525316062</v>
      </c>
      <c r="J37" s="8" t="s">
        <v>64</v>
      </c>
      <c r="K37">
        <f t="shared" ref="K37:AI37" ca="1" si="29">flt3_*qa3_+lz*wa*flt3_^2/za*(sa-oa/za)</f>
        <v>6.8635939752429129E-12</v>
      </c>
      <c r="L37">
        <f t="shared" ca="1" si="29"/>
        <v>6.5666466613108572E-10</v>
      </c>
      <c r="M37">
        <f t="shared" ca="1" si="29"/>
        <v>2.7824345157298726E-8</v>
      </c>
      <c r="N37">
        <f t="shared" ca="1" si="29"/>
        <v>8.1540118621255119E-7</v>
      </c>
      <c r="O37">
        <f t="shared" ca="1" si="29"/>
        <v>1.8259247843521475E-5</v>
      </c>
      <c r="P37">
        <f t="shared" ca="1" si="29"/>
        <v>2.8019230316177489E-4</v>
      </c>
      <c r="Q37">
        <f t="shared" ca="1" si="29"/>
        <v>2.1736598225118651E-3</v>
      </c>
      <c r="R37">
        <f t="shared" ca="1" si="29"/>
        <v>1.0151760985397506E-2</v>
      </c>
      <c r="S37">
        <f t="shared" ca="1" si="29"/>
        <v>0.14360302469500127</v>
      </c>
      <c r="T37">
        <f t="shared" ca="1" si="29"/>
        <v>2.3917019194363704</v>
      </c>
      <c r="U37">
        <f t="shared" ca="1" si="29"/>
        <v>6.5152669641427847</v>
      </c>
      <c r="V37">
        <f t="shared" ca="1" si="29"/>
        <v>7.4997621389456741</v>
      </c>
      <c r="W37">
        <f t="shared" ca="1" si="29"/>
        <v>7.2330592257005515</v>
      </c>
      <c r="X37">
        <f t="shared" ca="1" si="29"/>
        <v>6.7002707315453351</v>
      </c>
      <c r="Y37">
        <f t="shared" ca="1" si="29"/>
        <v>6.113574576299909</v>
      </c>
      <c r="Z37">
        <f t="shared" ca="1" si="29"/>
        <v>6.818441095955845</v>
      </c>
      <c r="AA37">
        <f t="shared" ca="1" si="29"/>
        <v>7.5252301835640134</v>
      </c>
      <c r="AB37">
        <f t="shared" ca="1" si="29"/>
        <v>8.2224053528795089</v>
      </c>
      <c r="AC37">
        <f t="shared" ca="1" si="29"/>
        <v>8.9029972060599363</v>
      </c>
      <c r="AD37">
        <f t="shared" ca="1" si="29"/>
        <v>9.562906656798857</v>
      </c>
      <c r="AE37">
        <f t="shared" ca="1" si="29"/>
        <v>10.199646577041136</v>
      </c>
      <c r="AF37">
        <f t="shared" ca="1" si="29"/>
        <v>10.811666146833934</v>
      </c>
      <c r="AG37">
        <f t="shared" ca="1" si="29"/>
        <v>11.398011848664696</v>
      </c>
      <c r="AH37">
        <f t="shared" ca="1" si="29"/>
        <v>11.95815239550525</v>
      </c>
      <c r="AI37">
        <f t="shared" ca="1" si="29"/>
        <v>12.470274492843849</v>
      </c>
    </row>
    <row r="38" spans="1:35">
      <c r="A38" t="s">
        <v>35</v>
      </c>
      <c r="B38" s="1">
        <f ca="1">SUMPRODUCT(lz,ta3_)</f>
        <v>0.55466904071836109</v>
      </c>
      <c r="C38" s="29">
        <f ca="1">B13/(phi_t3/SUM(B$36:B$38))</f>
        <v>1.0545359427712058</v>
      </c>
      <c r="E38" s="38">
        <f ca="1">C38/AVERAGE(C$36:C$38)</f>
        <v>0.73433057658965595</v>
      </c>
      <c r="G38" t="s">
        <v>69</v>
      </c>
      <c r="J38" s="8" t="s">
        <v>60</v>
      </c>
      <c r="K38">
        <f t="shared" ref="K38:AI38" ca="1" si="30">flt1_*qa1_+lz*wa*flt2_*flt1_/za*(sa-oa/za)</f>
        <v>-2.0157390307673263E-10</v>
      </c>
      <c r="L38">
        <f t="shared" ca="1" si="30"/>
        <v>-3.7828617318918183E-8</v>
      </c>
      <c r="M38">
        <f t="shared" ca="1" si="30"/>
        <v>-1.7098457251793197E-6</v>
      </c>
      <c r="N38">
        <f t="shared" ca="1" si="30"/>
        <v>-1.2698677347849682E-5</v>
      </c>
      <c r="O38">
        <f t="shared" ca="1" si="30"/>
        <v>-4.6624655853053452E-5</v>
      </c>
      <c r="P38">
        <f t="shared" ca="1" si="30"/>
        <v>-1.4451708522537817E-4</v>
      </c>
      <c r="Q38">
        <f t="shared" ca="1" si="30"/>
        <v>-4.104861310631349E-4</v>
      </c>
      <c r="R38">
        <f t="shared" ca="1" si="30"/>
        <v>-1.1320671531108808E-3</v>
      </c>
      <c r="S38">
        <f t="shared" ca="1" si="30"/>
        <v>-3.8193535718261491E-3</v>
      </c>
      <c r="T38">
        <f t="shared" ca="1" si="30"/>
        <v>-1.6060037522352515E-3</v>
      </c>
      <c r="U38">
        <f t="shared" ca="1" si="30"/>
        <v>0.24528448209303516</v>
      </c>
      <c r="V38">
        <f t="shared" ca="1" si="30"/>
        <v>1.6125428472754133</v>
      </c>
      <c r="W38">
        <f t="shared" ca="1" si="30"/>
        <v>5.3592738706785195</v>
      </c>
      <c r="X38">
        <f t="shared" ca="1" si="30"/>
        <v>11.00691011001876</v>
      </c>
      <c r="Y38">
        <f t="shared" ca="1" si="30"/>
        <v>16.417192494738217</v>
      </c>
      <c r="Z38">
        <f t="shared" ca="1" si="30"/>
        <v>20.578216731860785</v>
      </c>
      <c r="AA38">
        <f t="shared" ca="1" si="30"/>
        <v>23.77381382623145</v>
      </c>
      <c r="AB38">
        <f t="shared" ca="1" si="30"/>
        <v>26.419348661278711</v>
      </c>
      <c r="AC38">
        <f t="shared" ca="1" si="30"/>
        <v>28.772215792186071</v>
      </c>
      <c r="AD38">
        <f t="shared" ca="1" si="30"/>
        <v>30.956491295463923</v>
      </c>
      <c r="AE38">
        <f t="shared" ca="1" si="30"/>
        <v>33.025437557692932</v>
      </c>
      <c r="AF38">
        <f t="shared" ca="1" si="30"/>
        <v>34.999983993501374</v>
      </c>
      <c r="AG38">
        <f t="shared" ca="1" si="30"/>
        <v>36.887495775218632</v>
      </c>
      <c r="AH38">
        <f t="shared" ca="1" si="30"/>
        <v>38.690158228423229</v>
      </c>
      <c r="AI38">
        <f t="shared" ca="1" si="30"/>
        <v>40.385749481130873</v>
      </c>
    </row>
    <row r="39" spans="1:35">
      <c r="A39" s="1" t="s">
        <v>36</v>
      </c>
      <c r="B39" s="1">
        <f ca="1">SUMPRODUCT(lz,qa1_)</f>
        <v>7.8188556903545932</v>
      </c>
      <c r="C39" s="23">
        <f ca="1">B4/(phi_q1/SUM(B$39:B$41))</f>
        <v>2.189369626770119</v>
      </c>
      <c r="D39" s="21"/>
      <c r="E39" s="39">
        <f ca="1">C39/AVERAGE(C$39:C$41)</f>
        <v>2.0024574956102814</v>
      </c>
      <c r="G39" s="1">
        <f ca="1">re*phi_q1+f1_*phi_q1*$H31+f1_*re*G35</f>
        <v>1284147.2266580819</v>
      </c>
      <c r="H39" s="1">
        <f ca="1">0*re*phi_q1+f1_*phi_q1*$H32+f1_*re*H35</f>
        <v>1100667.6882922077</v>
      </c>
      <c r="I39" s="1">
        <f ca="1">0*re*phi_q1+f1_*phi_q1*$H33+f1_*re*I35</f>
        <v>1127399.9662097595</v>
      </c>
      <c r="J39" s="8" t="s">
        <v>66</v>
      </c>
      <c r="K39">
        <f t="shared" ref="K39:AI39" ca="1" si="31">flt1_*qa1_+lz*wa*flt3_*flt1_/za*(sa-oa/za)</f>
        <v>-6.0489371455453245E-13</v>
      </c>
      <c r="L39">
        <f t="shared" ca="1" si="31"/>
        <v>-3.3265059925673767E-11</v>
      </c>
      <c r="M39">
        <f t="shared" ca="1" si="31"/>
        <v>-8.1741309108035018E-10</v>
      </c>
      <c r="N39">
        <f t="shared" ca="1" si="31"/>
        <v>-1.3782114006873691E-8</v>
      </c>
      <c r="O39">
        <f t="shared" ca="1" si="31"/>
        <v>-1.8246618933273787E-7</v>
      </c>
      <c r="P39">
        <f t="shared" ca="1" si="31"/>
        <v>-1.8604201073203646E-6</v>
      </c>
      <c r="Q39">
        <f t="shared" ca="1" si="31"/>
        <v>-1.2317753391777021E-5</v>
      </c>
      <c r="R39">
        <f t="shared" ca="1" si="31"/>
        <v>-5.6097680029756039E-5</v>
      </c>
      <c r="S39">
        <f t="shared" ca="1" si="31"/>
        <v>-5.9973328094979975E-4</v>
      </c>
      <c r="T39">
        <f t="shared" ca="1" si="31"/>
        <v>-2.1886644370300475E-3</v>
      </c>
      <c r="U39">
        <f t="shared" ca="1" si="31"/>
        <v>0.19590735615460553</v>
      </c>
      <c r="V39">
        <f t="shared" ca="1" si="31"/>
        <v>1.5057550244670401</v>
      </c>
      <c r="W39">
        <f t="shared" ca="1" si="31"/>
        <v>5.2186250687607796</v>
      </c>
      <c r="X39">
        <f t="shared" ca="1" si="31"/>
        <v>10.868944010291214</v>
      </c>
      <c r="Y39">
        <f t="shared" ca="1" si="31"/>
        <v>16.305593428231866</v>
      </c>
      <c r="Z39">
        <f t="shared" ca="1" si="31"/>
        <v>20.485224228178406</v>
      </c>
      <c r="AA39">
        <f t="shared" ca="1" si="31"/>
        <v>23.700329388956543</v>
      </c>
      <c r="AB39">
        <f t="shared" ca="1" si="31"/>
        <v>26.362824119579084</v>
      </c>
      <c r="AC39">
        <f t="shared" ca="1" si="31"/>
        <v>28.729397496020539</v>
      </c>
      <c r="AD39">
        <f t="shared" ca="1" si="31"/>
        <v>30.924381746362688</v>
      </c>
      <c r="AE39">
        <f t="shared" ca="1" si="31"/>
        <v>33.001540727771776</v>
      </c>
      <c r="AF39">
        <f t="shared" ca="1" si="31"/>
        <v>34.982309614654504</v>
      </c>
      <c r="AG39">
        <f t="shared" ca="1" si="31"/>
        <v>36.874493277328135</v>
      </c>
      <c r="AH39">
        <f t="shared" ca="1" si="31"/>
        <v>38.680637587924529</v>
      </c>
      <c r="AI39">
        <f t="shared" ca="1" si="31"/>
        <v>40.362745942207212</v>
      </c>
    </row>
    <row r="40" spans="1:35">
      <c r="A40" s="1" t="s">
        <v>37</v>
      </c>
      <c r="B40" s="1">
        <f ca="1">SUMPRODUCT(lz,qa2_)</f>
        <v>11.328418587410381</v>
      </c>
      <c r="C40" s="23">
        <f ca="1">B5/(phi_q2/SUM(B$39:B$41))</f>
        <v>0.56355406125341212</v>
      </c>
      <c r="D40" s="21"/>
      <c r="E40" s="39">
        <f ca="1">C40/AVERAGE(C$39:C$41)</f>
        <v>0.51544199770567156</v>
      </c>
      <c r="G40" s="1">
        <f ca="1">0*re*phi_q1+f1_*phi_q1*$H32+f1_*re*G36</f>
        <v>1100667.6882922077</v>
      </c>
      <c r="H40" s="1">
        <f ca="1">re*phi_q2+f2_*phi_q2*$H32+f2_*re*H36</f>
        <v>244007.82711960204</v>
      </c>
      <c r="I40" s="1">
        <f ca="1">0*re*phi_q3+f3_*phi_q3*$H33+f3_*re*I36</f>
        <v>270364.0882257616</v>
      </c>
      <c r="J40" s="8" t="s">
        <v>65</v>
      </c>
      <c r="K40">
        <f t="shared" ref="K40:AI40" ca="1" si="32">flt1_*qa1_+lz*wa*flt1_*flt2_/za*(sa-oa/za)</f>
        <v>-2.0157390307673263E-10</v>
      </c>
      <c r="L40">
        <f t="shared" ca="1" si="32"/>
        <v>-3.7828617318918183E-8</v>
      </c>
      <c r="M40">
        <f t="shared" ca="1" si="32"/>
        <v>-1.7098457251793199E-6</v>
      </c>
      <c r="N40">
        <f t="shared" ca="1" si="32"/>
        <v>-1.2698677347849682E-5</v>
      </c>
      <c r="O40">
        <f t="shared" ca="1" si="32"/>
        <v>-4.6624655853053452E-5</v>
      </c>
      <c r="P40">
        <f t="shared" ca="1" si="32"/>
        <v>-1.4451708522537817E-4</v>
      </c>
      <c r="Q40">
        <f t="shared" ca="1" si="32"/>
        <v>-4.104861310631349E-4</v>
      </c>
      <c r="R40">
        <f t="shared" ca="1" si="32"/>
        <v>-1.1320671531108808E-3</v>
      </c>
      <c r="S40">
        <f t="shared" ca="1" si="32"/>
        <v>-3.8193535718261491E-3</v>
      </c>
      <c r="T40">
        <f t="shared" ca="1" si="32"/>
        <v>-1.606003752235248E-3</v>
      </c>
      <c r="U40">
        <f t="shared" ca="1" si="32"/>
        <v>0.24528448209303519</v>
      </c>
      <c r="V40">
        <f t="shared" ca="1" si="32"/>
        <v>1.6125428472754133</v>
      </c>
      <c r="W40">
        <f t="shared" ca="1" si="32"/>
        <v>5.3592738706785195</v>
      </c>
      <c r="X40">
        <f t="shared" ca="1" si="32"/>
        <v>11.00691011001876</v>
      </c>
      <c r="Y40">
        <f t="shared" ca="1" si="32"/>
        <v>16.417192494738217</v>
      </c>
      <c r="Z40">
        <f t="shared" ca="1" si="32"/>
        <v>20.578216731860785</v>
      </c>
      <c r="AA40">
        <f t="shared" ca="1" si="32"/>
        <v>23.77381382623145</v>
      </c>
      <c r="AB40">
        <f t="shared" ca="1" si="32"/>
        <v>26.419348661278711</v>
      </c>
      <c r="AC40">
        <f t="shared" ca="1" si="32"/>
        <v>28.772215792186071</v>
      </c>
      <c r="AD40">
        <f t="shared" ca="1" si="32"/>
        <v>30.956491295463923</v>
      </c>
      <c r="AE40">
        <f t="shared" ca="1" si="32"/>
        <v>33.025437557692932</v>
      </c>
      <c r="AF40">
        <f t="shared" ca="1" si="32"/>
        <v>34.999983993501374</v>
      </c>
      <c r="AG40">
        <f t="shared" ca="1" si="32"/>
        <v>36.887495775218632</v>
      </c>
      <c r="AH40">
        <f t="shared" ca="1" si="32"/>
        <v>38.690158228423229</v>
      </c>
      <c r="AI40">
        <f t="shared" ca="1" si="32"/>
        <v>40.385749481130873</v>
      </c>
    </row>
    <row r="41" spans="1:35">
      <c r="A41" s="1" t="s">
        <v>38</v>
      </c>
      <c r="B41" s="1">
        <f ca="1">SUMPRODUCT(lz,qa3_)</f>
        <v>9.2097084937333502</v>
      </c>
      <c r="C41" s="23">
        <f ca="1">B6/(phi_q3/SUM(B$39:B$41))</f>
        <v>0.52710042969619086</v>
      </c>
      <c r="D41" s="21"/>
      <c r="E41" s="39">
        <f ca="1">C41/AVERAGE(C$39:C$41)</f>
        <v>0.48210050668404714</v>
      </c>
      <c r="G41" s="1">
        <f ca="1">0*re*phi_q1+f1_*phi_q1*$H33+f1_*re*G37</f>
        <v>1127399.9662097595</v>
      </c>
      <c r="H41" s="1">
        <f ca="1">0*re*phi_q3+f3_*phi_q3*$H33+f3_*re*H37</f>
        <v>270364.0882257616</v>
      </c>
      <c r="I41" s="1">
        <f ca="1">re*phi_q3+f1_*phi_q3*$H33+f3_*re*I37</f>
        <v>247424.59501257702</v>
      </c>
      <c r="J41" s="8" t="s">
        <v>67</v>
      </c>
      <c r="K41">
        <f t="shared" ref="K41:AI41" ca="1" si="33">flt1_*qa1_+lz*wa*flt3_*flt2_/za*(sa-oa/za)</f>
        <v>-1.6217853873134971E-9</v>
      </c>
      <c r="L41">
        <f t="shared" ca="1" si="33"/>
        <v>-4.2463878164797776E-7</v>
      </c>
      <c r="M41">
        <f t="shared" ca="1" si="33"/>
        <v>-2.673368615006964E-5</v>
      </c>
      <c r="N41">
        <f t="shared" ca="1" si="33"/>
        <v>-2.7412377305245194E-4</v>
      </c>
      <c r="O41">
        <f t="shared" ca="1" si="33"/>
        <v>-1.3426895777717998E-3</v>
      </c>
      <c r="P41">
        <f t="shared" ca="1" si="33"/>
        <v>-4.9300968117517623E-3</v>
      </c>
      <c r="Q41">
        <f t="shared" ca="1" si="33"/>
        <v>-1.2395045288972268E-2</v>
      </c>
      <c r="R41">
        <f t="shared" ca="1" si="33"/>
        <v>-2.3558059925371942E-2</v>
      </c>
      <c r="S41">
        <f t="shared" ca="1" si="33"/>
        <v>-7.5954591545520339E-2</v>
      </c>
      <c r="T41">
        <f t="shared" ca="1" si="33"/>
        <v>-0.23958695295311311</v>
      </c>
      <c r="U41">
        <f t="shared" ca="1" si="33"/>
        <v>-3.0367881055909707E-2</v>
      </c>
      <c r="V41">
        <f t="shared" ca="1" si="33"/>
        <v>1.4570897639465681</v>
      </c>
      <c r="W41">
        <f t="shared" ca="1" si="33"/>
        <v>5.3279537976690214</v>
      </c>
      <c r="X41">
        <f t="shared" ca="1" si="33"/>
        <v>11.046377134708347</v>
      </c>
      <c r="Y41">
        <f t="shared" ca="1" si="33"/>
        <v>16.478067484914916</v>
      </c>
      <c r="Z41">
        <f t="shared" ca="1" si="33"/>
        <v>20.633727147082151</v>
      </c>
      <c r="AA41">
        <f t="shared" ca="1" si="33"/>
        <v>23.819151768064465</v>
      </c>
      <c r="AB41">
        <f t="shared" ca="1" si="33"/>
        <v>26.454663916017786</v>
      </c>
      <c r="AC41">
        <f t="shared" ca="1" si="33"/>
        <v>28.799097725150204</v>
      </c>
      <c r="AD41">
        <f t="shared" ca="1" si="33"/>
        <v>30.976687982413218</v>
      </c>
      <c r="AE41">
        <f t="shared" ca="1" si="33"/>
        <v>33.040479372206121</v>
      </c>
      <c r="AF41">
        <f t="shared" ca="1" si="33"/>
        <v>35.011112151091176</v>
      </c>
      <c r="AG41">
        <f t="shared" ca="1" si="33"/>
        <v>36.895683235049972</v>
      </c>
      <c r="AH41">
        <f t="shared" ca="1" si="33"/>
        <v>38.696153408991989</v>
      </c>
      <c r="AI41">
        <f t="shared" ca="1" si="33"/>
        <v>40.400234962835533</v>
      </c>
    </row>
    <row r="42" spans="1:35">
      <c r="A42" s="1" t="s">
        <v>96</v>
      </c>
      <c r="B42" s="1">
        <f ca="1">SUMPRODUCT(lz/SUM(lz),len,ta1_)</f>
        <v>5.7648885224248207</v>
      </c>
      <c r="J42" s="8" t="s">
        <v>68</v>
      </c>
      <c r="K42">
        <f t="shared" ref="K42:AI42" ca="1" si="34">flt1_*qa1_+lz*wa*flt1_*flt3_/za*(sa-oa/za)</f>
        <v>-6.0489371455453245E-13</v>
      </c>
      <c r="L42">
        <f t="shared" ca="1" si="34"/>
        <v>-3.3265059925673767E-11</v>
      </c>
      <c r="M42">
        <f t="shared" ca="1" si="34"/>
        <v>-8.1741309108035018E-10</v>
      </c>
      <c r="N42">
        <f t="shared" ca="1" si="34"/>
        <v>-1.3782114006873691E-8</v>
      </c>
      <c r="O42">
        <f t="shared" ca="1" si="34"/>
        <v>-1.8246618933273787E-7</v>
      </c>
      <c r="P42">
        <f t="shared" ca="1" si="34"/>
        <v>-1.8604201073203646E-6</v>
      </c>
      <c r="Q42">
        <f t="shared" ca="1" si="34"/>
        <v>-1.2317753391777021E-5</v>
      </c>
      <c r="R42">
        <f t="shared" ca="1" si="34"/>
        <v>-5.6097680029756039E-5</v>
      </c>
      <c r="S42">
        <f t="shared" ca="1" si="34"/>
        <v>-5.9973328094979975E-4</v>
      </c>
      <c r="T42">
        <f t="shared" ca="1" si="34"/>
        <v>-2.1886644370300475E-3</v>
      </c>
      <c r="U42">
        <f t="shared" ca="1" si="34"/>
        <v>0.19590735615460553</v>
      </c>
      <c r="V42">
        <f t="shared" ca="1" si="34"/>
        <v>1.5057550244670401</v>
      </c>
      <c r="W42">
        <f t="shared" ca="1" si="34"/>
        <v>5.2186250687607796</v>
      </c>
      <c r="X42">
        <f t="shared" ca="1" si="34"/>
        <v>10.868944010291214</v>
      </c>
      <c r="Y42">
        <f t="shared" ca="1" si="34"/>
        <v>16.305593428231866</v>
      </c>
      <c r="Z42">
        <f t="shared" ca="1" si="34"/>
        <v>20.485224228178406</v>
      </c>
      <c r="AA42">
        <f t="shared" ca="1" si="34"/>
        <v>23.700329388956543</v>
      </c>
      <c r="AB42">
        <f t="shared" ca="1" si="34"/>
        <v>26.362824119579084</v>
      </c>
      <c r="AC42">
        <f t="shared" ca="1" si="34"/>
        <v>28.729397496020539</v>
      </c>
      <c r="AD42">
        <f t="shared" ca="1" si="34"/>
        <v>30.924381746362688</v>
      </c>
      <c r="AE42">
        <f t="shared" ca="1" si="34"/>
        <v>33.001540727771776</v>
      </c>
      <c r="AF42">
        <f t="shared" ca="1" si="34"/>
        <v>34.982309614654504</v>
      </c>
      <c r="AG42">
        <f t="shared" ca="1" si="34"/>
        <v>36.874493277328135</v>
      </c>
      <c r="AH42">
        <f t="shared" ca="1" si="34"/>
        <v>38.680637587924529</v>
      </c>
      <c r="AI42">
        <f t="shared" ca="1" si="34"/>
        <v>40.362745942207212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-1.6217853873134968E-9</v>
      </c>
      <c r="L43">
        <f t="shared" ca="1" si="35"/>
        <v>-4.2463878164797776E-7</v>
      </c>
      <c r="M43">
        <f t="shared" ca="1" si="35"/>
        <v>-2.6733686150069637E-5</v>
      </c>
      <c r="N43">
        <f t="shared" ca="1" si="35"/>
        <v>-2.7412377305245194E-4</v>
      </c>
      <c r="O43">
        <f t="shared" ca="1" si="35"/>
        <v>-1.3426895777717996E-3</v>
      </c>
      <c r="P43">
        <f t="shared" ca="1" si="35"/>
        <v>-4.930096811751764E-3</v>
      </c>
      <c r="Q43">
        <f t="shared" ca="1" si="35"/>
        <v>-1.2395045288972268E-2</v>
      </c>
      <c r="R43">
        <f t="shared" ca="1" si="35"/>
        <v>-2.3558059925371945E-2</v>
      </c>
      <c r="S43">
        <f t="shared" ca="1" si="35"/>
        <v>-7.5954591545520339E-2</v>
      </c>
      <c r="T43">
        <f t="shared" ca="1" si="35"/>
        <v>-0.23958695295311311</v>
      </c>
      <c r="U43">
        <f t="shared" ca="1" si="35"/>
        <v>-3.0367881055909707E-2</v>
      </c>
      <c r="V43">
        <f t="shared" ca="1" si="35"/>
        <v>1.4570897639465681</v>
      </c>
      <c r="W43">
        <f t="shared" ca="1" si="35"/>
        <v>5.3279537976690214</v>
      </c>
      <c r="X43">
        <f t="shared" ca="1" si="35"/>
        <v>11.046377134708347</v>
      </c>
      <c r="Y43">
        <f t="shared" ca="1" si="35"/>
        <v>16.478067484914916</v>
      </c>
      <c r="Z43">
        <f t="shared" ca="1" si="35"/>
        <v>20.633727147082151</v>
      </c>
      <c r="AA43">
        <f t="shared" ca="1" si="35"/>
        <v>23.819151768064465</v>
      </c>
      <c r="AB43">
        <f t="shared" ca="1" si="35"/>
        <v>26.454663916017786</v>
      </c>
      <c r="AC43">
        <f t="shared" ca="1" si="35"/>
        <v>28.799097725150204</v>
      </c>
      <c r="AD43">
        <f t="shared" ca="1" si="35"/>
        <v>30.976687982413218</v>
      </c>
      <c r="AE43">
        <f t="shared" ca="1" si="35"/>
        <v>33.040479372206121</v>
      </c>
      <c r="AF43">
        <f t="shared" ca="1" si="35"/>
        <v>35.011112151091176</v>
      </c>
      <c r="AG43">
        <f t="shared" ca="1" si="35"/>
        <v>36.895683235049972</v>
      </c>
      <c r="AH43">
        <f t="shared" ca="1" si="35"/>
        <v>38.696153408991989</v>
      </c>
      <c r="AI43">
        <f t="shared" ca="1" si="35"/>
        <v>40.400234962835533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0.28782607909531416</v>
      </c>
      <c r="G46" s="32" t="s">
        <v>145</v>
      </c>
      <c r="H46" s="32"/>
      <c r="I46" s="32"/>
      <c r="J46" s="8" t="s">
        <v>75</v>
      </c>
      <c r="K46">
        <f t="shared" ref="K46:AI46" ca="1" si="36">lz*qa1_</f>
        <v>7.4009679853402727E-8</v>
      </c>
      <c r="L46">
        <f t="shared" ca="1" si="36"/>
        <v>1.0752527939006959E-6</v>
      </c>
      <c r="M46">
        <f t="shared" ca="1" si="36"/>
        <v>7.1091598371923912E-6</v>
      </c>
      <c r="N46">
        <f t="shared" ca="1" si="36"/>
        <v>3.2940250916112438E-5</v>
      </c>
      <c r="O46">
        <f t="shared" ca="1" si="36"/>
        <v>1.2528281837975529E-4</v>
      </c>
      <c r="P46">
        <f t="shared" ca="1" si="36"/>
        <v>4.2220183619390842E-4</v>
      </c>
      <c r="Q46">
        <f t="shared" ca="1" si="36"/>
        <v>1.3127734341015021E-3</v>
      </c>
      <c r="R46">
        <f t="shared" ca="1" si="36"/>
        <v>4.0164234978878333E-3</v>
      </c>
      <c r="S46">
        <f t="shared" ca="1" si="36"/>
        <v>1.6401679382901067E-2</v>
      </c>
      <c r="T46">
        <f t="shared" ca="1" si="36"/>
        <v>9.9435864138731359E-2</v>
      </c>
      <c r="U46">
        <f t="shared" ca="1" si="36"/>
        <v>0.33545574276465839</v>
      </c>
      <c r="V46">
        <f t="shared" ca="1" si="36"/>
        <v>0.6741706129781746</v>
      </c>
      <c r="W46">
        <f t="shared" ca="1" si="36"/>
        <v>0.98875847231226222</v>
      </c>
      <c r="X46">
        <f t="shared" ca="1" si="36"/>
        <v>1.1090125628340617</v>
      </c>
      <c r="Y46">
        <f t="shared" ca="1" si="36"/>
        <v>1.0293799062931435</v>
      </c>
      <c r="Z46">
        <f t="shared" ca="1" si="36"/>
        <v>0.85922168249016007</v>
      </c>
      <c r="AA46">
        <f t="shared" ca="1" si="36"/>
        <v>0.67946607280952465</v>
      </c>
      <c r="AB46">
        <f t="shared" ca="1" si="36"/>
        <v>0.52280114140503819</v>
      </c>
      <c r="AC46">
        <f t="shared" ca="1" si="36"/>
        <v>0.3960764252442458</v>
      </c>
      <c r="AD46">
        <f t="shared" ca="1" si="36"/>
        <v>0.29703210173221412</v>
      </c>
      <c r="AE46">
        <f t="shared" ca="1" si="36"/>
        <v>0.22106349960609153</v>
      </c>
      <c r="AF46">
        <f t="shared" ca="1" si="36"/>
        <v>0.16350226890651362</v>
      </c>
      <c r="AG46">
        <f t="shared" ca="1" si="36"/>
        <v>0.12028388890097176</v>
      </c>
      <c r="AH46">
        <f t="shared" ca="1" si="36"/>
        <v>8.8073887545006266E-2</v>
      </c>
      <c r="AI46">
        <f t="shared" ca="1" si="36"/>
        <v>0.21280200075110403</v>
      </c>
    </row>
    <row r="47" spans="1:35" ht="19" thickTop="1">
      <c r="A47" s="1" t="s">
        <v>41</v>
      </c>
      <c r="B47" s="11">
        <f ca="1">MAX(0,Ro*(reck-1/spr)/(reck-1))</f>
        <v>19403.680654383181</v>
      </c>
      <c r="F47" t="s">
        <v>84</v>
      </c>
      <c r="G47" s="31">
        <f ca="1">G39/G53</f>
        <v>0.99999999999999978</v>
      </c>
      <c r="H47" s="31">
        <f ca="1">H53/H39</f>
        <v>0.50857273145794601</v>
      </c>
      <c r="I47" s="31">
        <f ca="1">I53/I39</f>
        <v>0.49997792021856902</v>
      </c>
      <c r="J47" s="8" t="s">
        <v>76</v>
      </c>
      <c r="K47">
        <f t="shared" ref="K47:AI47" ca="1" si="37">lz*qa2_</f>
        <v>1.478091037983035E-4</v>
      </c>
      <c r="L47">
        <f t="shared" ca="1" si="37"/>
        <v>1.0809090520928879E-2</v>
      </c>
      <c r="M47">
        <f t="shared" ca="1" si="37"/>
        <v>0.19103072130882995</v>
      </c>
      <c r="N47">
        <f t="shared" ca="1" si="37"/>
        <v>0.55440872646701866</v>
      </c>
      <c r="O47">
        <f t="shared" ca="1" si="37"/>
        <v>0.79396836316182084</v>
      </c>
      <c r="P47">
        <f t="shared" ca="1" si="37"/>
        <v>0.96114117985930436</v>
      </c>
      <c r="Q47">
        <f t="shared" ca="1" si="37"/>
        <v>1.0677572171480465</v>
      </c>
      <c r="R47">
        <f t="shared" ca="1" si="37"/>
        <v>1.1163209415627044</v>
      </c>
      <c r="S47">
        <f t="shared" ca="1" si="37"/>
        <v>1.1122645188250935</v>
      </c>
      <c r="T47">
        <f t="shared" ca="1" si="37"/>
        <v>1.0558051268032418</v>
      </c>
      <c r="U47">
        <f t="shared" ca="1" si="37"/>
        <v>0.94951132185678155</v>
      </c>
      <c r="V47">
        <f t="shared" ca="1" si="37"/>
        <v>0.80920561304574623</v>
      </c>
      <c r="W47">
        <f t="shared" ca="1" si="37"/>
        <v>0.65383661932650416</v>
      </c>
      <c r="X47">
        <f t="shared" ca="1" si="37"/>
        <v>0.50244539057401572</v>
      </c>
      <c r="Y47">
        <f t="shared" ca="1" si="37"/>
        <v>0.37164025858825267</v>
      </c>
      <c r="Z47">
        <f t="shared" ca="1" si="37"/>
        <v>0.29192872025710442</v>
      </c>
      <c r="AA47">
        <f t="shared" ca="1" si="37"/>
        <v>0.22522566433452765</v>
      </c>
      <c r="AB47">
        <f t="shared" ca="1" si="37"/>
        <v>0.17160841857344308</v>
      </c>
      <c r="AC47">
        <f t="shared" ca="1" si="37"/>
        <v>0.12951399690502824</v>
      </c>
      <c r="AD47">
        <f t="shared" ca="1" si="37"/>
        <v>9.6982464119008016E-2</v>
      </c>
      <c r="AE47">
        <f t="shared" ca="1" si="37"/>
        <v>7.2136755402494368E-2</v>
      </c>
      <c r="AF47">
        <f t="shared" ca="1" si="37"/>
        <v>5.3341875792161909E-2</v>
      </c>
      <c r="AG47">
        <f t="shared" ca="1" si="37"/>
        <v>3.9238954048797015E-2</v>
      </c>
      <c r="AH47">
        <f t="shared" ca="1" si="37"/>
        <v>2.8730698535120929E-2</v>
      </c>
      <c r="AI47">
        <f t="shared" ca="1" si="37"/>
        <v>6.9418141290606361E-2</v>
      </c>
    </row>
    <row r="48" spans="1:35">
      <c r="A48" s="1" t="s">
        <v>43</v>
      </c>
      <c r="B48" s="1">
        <f ca="1">f1_*re*phi_q1</f>
        <v>26063.50370259782</v>
      </c>
      <c r="C48" s="20">
        <f ca="1">ye_1/SUM(ye_1,ye_2,ye_3)</f>
        <v>0.60367371601208464</v>
      </c>
      <c r="F48" t="s">
        <v>85</v>
      </c>
      <c r="G48" s="31">
        <f ca="1">G40/G54</f>
        <v>1.966287097488022</v>
      </c>
      <c r="H48" s="31">
        <f t="shared" ref="H48:I49" ca="1" si="38">H40/H54</f>
        <v>1.0000000000000002</v>
      </c>
      <c r="I48" s="31">
        <f ca="1">I54/I40</f>
        <v>0.90881253383577909</v>
      </c>
      <c r="J48" s="8" t="s">
        <v>77</v>
      </c>
      <c r="K48">
        <f t="shared" ref="K48:AI48" ca="1" si="39">lz*qa3_</f>
        <v>5.9491756654971432E-7</v>
      </c>
      <c r="L48">
        <f t="shared" ca="1" si="39"/>
        <v>1.206746072515319E-5</v>
      </c>
      <c r="M48">
        <f t="shared" ca="1" si="39"/>
        <v>1.1114194763350568E-4</v>
      </c>
      <c r="N48">
        <f t="shared" ca="1" si="39"/>
        <v>7.1094076508271861E-4</v>
      </c>
      <c r="O48">
        <f t="shared" ca="1" si="39"/>
        <v>3.6056800364248445E-3</v>
      </c>
      <c r="P48">
        <f t="shared" ca="1" si="39"/>
        <v>1.4373633747981123E-2</v>
      </c>
      <c r="Q48">
        <f t="shared" ca="1" si="39"/>
        <v>3.9369332081916522E-2</v>
      </c>
      <c r="R48">
        <f t="shared" ca="1" si="39"/>
        <v>8.1609239900876512E-2</v>
      </c>
      <c r="S48">
        <f t="shared" ca="1" si="39"/>
        <v>0.28854722568734875</v>
      </c>
      <c r="T48">
        <f t="shared" ca="1" si="39"/>
        <v>1.0813309238390612</v>
      </c>
      <c r="U48">
        <f t="shared" ca="1" si="39"/>
        <v>1.5810666593778013</v>
      </c>
      <c r="V48">
        <f t="shared" ca="1" si="39"/>
        <v>1.4437739866497257</v>
      </c>
      <c r="W48">
        <f t="shared" ca="1" si="39"/>
        <v>1.1588074339753931</v>
      </c>
      <c r="X48">
        <f t="shared" ca="1" si="39"/>
        <v>0.87425148195241842</v>
      </c>
      <c r="Y48">
        <f t="shared" ca="1" si="39"/>
        <v>0.63359561304992507</v>
      </c>
      <c r="Z48">
        <f t="shared" ca="1" si="39"/>
        <v>0.4976983849403307</v>
      </c>
      <c r="AA48">
        <f t="shared" ca="1" si="39"/>
        <v>0.38397883321546705</v>
      </c>
      <c r="AB48">
        <f t="shared" ca="1" si="39"/>
        <v>0.29256879107662354</v>
      </c>
      <c r="AC48">
        <f t="shared" ca="1" si="39"/>
        <v>0.22080358188132349</v>
      </c>
      <c r="AD48">
        <f t="shared" ca="1" si="39"/>
        <v>0.16534178520377765</v>
      </c>
      <c r="AE48">
        <f t="shared" ca="1" si="39"/>
        <v>0.12298326326727146</v>
      </c>
      <c r="AF48">
        <f t="shared" ca="1" si="39"/>
        <v>9.0940574151338993E-2</v>
      </c>
      <c r="AG48">
        <f t="shared" ca="1" si="39"/>
        <v>6.6897028972122366E-2</v>
      </c>
      <c r="AH48">
        <f t="shared" ca="1" si="39"/>
        <v>4.898189615103217E-2</v>
      </c>
      <c r="AI48">
        <f t="shared" ca="1" si="39"/>
        <v>0.11834839948418426</v>
      </c>
    </row>
    <row r="49" spans="1:47">
      <c r="A49" s="1" t="s">
        <v>44</v>
      </c>
      <c r="B49" s="1">
        <f ca="1">f2_*re*phi_q2</f>
        <v>9720.2040673298907</v>
      </c>
      <c r="C49" s="20">
        <f ca="1">ye_2/SUM(ye_1,ye_2,ye_3)</f>
        <v>0.22513595166163142</v>
      </c>
      <c r="F49" t="s">
        <v>86</v>
      </c>
      <c r="G49" s="31">
        <f ca="1">G41/G55</f>
        <v>2.0000883230260302</v>
      </c>
      <c r="H49" s="31">
        <f t="shared" ca="1" si="38"/>
        <v>1.1003369372331944</v>
      </c>
      <c r="I49" s="31">
        <f t="shared" ca="1" si="38"/>
        <v>1.0000000000000002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7391.1116917764475</v>
      </c>
      <c r="C50" s="20">
        <f ca="1">ye_3/SUM(ye_1,ye_2,ye_3)</f>
        <v>0.17119033232628397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43174.819461704159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1133.2022002529302</v>
      </c>
      <c r="H52" s="57">
        <f ca="1">H40^0.5</f>
        <v>493.9714841158364</v>
      </c>
      <c r="I52" s="11">
        <f ca="1">I41^0.5</f>
        <v>497.41792791633173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1.3432247297221016</v>
      </c>
      <c r="C53">
        <f ca="1">AVERAGE(B53:B55)/B53</f>
        <v>0.55217466736063847</v>
      </c>
      <c r="G53">
        <f ca="1">G$52*$J53</f>
        <v>1284147.2266580821</v>
      </c>
      <c r="H53">
        <f t="shared" ref="G53:I55" ca="1" si="40">H$52*$J53</f>
        <v>559769.57266227121</v>
      </c>
      <c r="I53">
        <f t="shared" ca="1" si="40"/>
        <v>563675.09036004054</v>
      </c>
      <c r="J53">
        <f t="array" aca="1" ref="J53:J55" ca="1">TRANSPOSE(G52:I52)</f>
        <v>1133.2022002529302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0.50094640498704313</v>
      </c>
      <c r="C54">
        <f ca="1">AVERAGE(B53:B55)/B54</f>
        <v>1.4805868670602971</v>
      </c>
      <c r="G54">
        <f t="shared" ca="1" si="40"/>
        <v>559769.57266227121</v>
      </c>
      <c r="H54">
        <f t="shared" ca="1" si="40"/>
        <v>244007.82711960201</v>
      </c>
      <c r="I54">
        <f ca="1">I$52*$J54</f>
        <v>245710.27207865453</v>
      </c>
      <c r="J54">
        <f ca="1"/>
        <v>493.9714841158364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0.38091287026551007</v>
      </c>
      <c r="C55">
        <f ca="1">AVERAGE(B53:B55)/B55</f>
        <v>1.9471504541390185</v>
      </c>
      <c r="G55">
        <f t="shared" ca="1" si="40"/>
        <v>563675.09036004054</v>
      </c>
      <c r="H55">
        <f t="shared" ca="1" si="40"/>
        <v>245710.27207865453</v>
      </c>
      <c r="I55">
        <f t="shared" ca="1" si="40"/>
        <v>247424.59501257699</v>
      </c>
      <c r="J55">
        <f ca="1"/>
        <v>497.41792791633173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5.7824326679249818E-2</v>
      </c>
      <c r="C56">
        <f ca="1">AVERAGE(B56:B58)/B56</f>
        <v>1.0565019459071081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0.10250914330342548</v>
      </c>
      <c r="C57">
        <f ca="1">AVERAGE(B56:B58)/B57</f>
        <v>0.59596160584979052</v>
      </c>
      <c r="G57">
        <f t="array" aca="1" ref="G57:I59" ca="1">MMULT($G$52:$I$52,TRANSPOSE($G$52:$I$52))</f>
        <v>1775579.648790261</v>
      </c>
      <c r="H57">
        <f ca="1"/>
        <v>1775579.648790261</v>
      </c>
      <c r="I57">
        <f ca="1"/>
        <v>1775579.648790261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2.2941070989511952E-2</v>
      </c>
      <c r="C58">
        <f ca="1">AVERAGE(B56:B58)/B58</f>
        <v>2.662975659912528</v>
      </c>
      <c r="G58">
        <f ca="1"/>
        <v>1775579.648790261</v>
      </c>
      <c r="H58">
        <f ca="1"/>
        <v>1775579.648790261</v>
      </c>
      <c r="I58">
        <f ca="1"/>
        <v>1775579.648790261</v>
      </c>
      <c r="AL58" s="31"/>
      <c r="AM58" s="31"/>
      <c r="AN58" s="31"/>
      <c r="AO58" s="31"/>
      <c r="AP58" s="31"/>
    </row>
    <row r="59" spans="1:47">
      <c r="G59">
        <f ca="1"/>
        <v>1775579.648790261</v>
      </c>
      <c r="H59">
        <f ca="1"/>
        <v>1775579.648790261</v>
      </c>
      <c r="I59">
        <f ca="1"/>
        <v>1775579.648790261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23.229405457203811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4.8868460787370891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16.603970688188589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7" sqref="G47:I4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0.60367371601208442</v>
      </c>
      <c r="E4" s="47">
        <v>24977</v>
      </c>
      <c r="F4" s="47">
        <f ca="1">ye_1</f>
        <v>22187.629858778771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0.2251359516616315</v>
      </c>
      <c r="E5" s="47">
        <v>9315</v>
      </c>
      <c r="F5" s="47">
        <f ca="1">ye_2</f>
        <v>8274.7236311216075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0.17119033232628411</v>
      </c>
      <c r="E6" s="47">
        <v>7083</v>
      </c>
      <c r="F6" s="47">
        <f ca="1">ye_3</f>
        <v>6291.9879204760446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0.29071427129892163</v>
      </c>
      <c r="J7" t="s">
        <v>7</v>
      </c>
      <c r="K7" s="1">
        <f>1</f>
        <v>1</v>
      </c>
      <c r="L7" s="1">
        <f ca="1">K7*EXP(-K8)</f>
        <v>0.85989561605151454</v>
      </c>
      <c r="M7" s="1">
        <f t="shared" ref="M7:AH7" ca="1" si="3">L7*EXP(-L8)</f>
        <v>0.73266421759361222</v>
      </c>
      <c r="N7" s="1">
        <f t="shared" ca="1" si="3"/>
        <v>0.59527315908140987</v>
      </c>
      <c r="O7" s="1">
        <f t="shared" ca="1" si="3"/>
        <v>0.47438903857754816</v>
      </c>
      <c r="P7" s="1">
        <f t="shared" ca="1" si="3"/>
        <v>0.38381490756365888</v>
      </c>
      <c r="Q7" s="1">
        <f t="shared" ca="1" si="3"/>
        <v>0.31484282322617574</v>
      </c>
      <c r="R7" s="1">
        <f t="shared" ca="1" si="3"/>
        <v>0.25800435152734469</v>
      </c>
      <c r="S7" s="1">
        <f t="shared" ca="1" si="3"/>
        <v>0.21086533201824975</v>
      </c>
      <c r="T7" s="1">
        <f t="shared" ca="1" si="3"/>
        <v>0.1727871526892763</v>
      </c>
      <c r="U7" s="1">
        <f t="shared" ca="1" si="3"/>
        <v>0.14163471603600075</v>
      </c>
      <c r="V7" s="1">
        <f t="shared" ca="1" si="3"/>
        <v>0.11524067517042424</v>
      </c>
      <c r="W7" s="1">
        <f t="shared" ca="1" si="3"/>
        <v>9.2016641979180414E-2</v>
      </c>
      <c r="X7" s="1">
        <f t="shared" ca="1" si="3"/>
        <v>7.1550977749133063E-2</v>
      </c>
      <c r="Y7" s="1">
        <f t="shared" ca="1" si="3"/>
        <v>5.4380039887259778E-2</v>
      </c>
      <c r="Z7" s="1">
        <f t="shared" ca="1" si="3"/>
        <v>4.079906228237809E-2</v>
      </c>
      <c r="AA7" s="1">
        <f t="shared" ca="1" si="3"/>
        <v>3.0381356803071358E-2</v>
      </c>
      <c r="AB7" s="1">
        <f t="shared" ca="1" si="3"/>
        <v>2.2551909202875538E-2</v>
      </c>
      <c r="AC7" s="1">
        <f t="shared" ca="1" si="3"/>
        <v>1.6718708061803495E-2</v>
      </c>
      <c r="AD7" s="1">
        <f t="shared" ca="1" si="3"/>
        <v>1.2388036192547955E-2</v>
      </c>
      <c r="AE7" s="1">
        <f t="shared" ca="1" si="3"/>
        <v>9.1773327665650925E-3</v>
      </c>
      <c r="AF7" s="1">
        <f t="shared" ca="1" si="3"/>
        <v>6.7982532584771284E-3</v>
      </c>
      <c r="AG7" s="1">
        <f t="shared" ca="1" si="3"/>
        <v>5.035766693043728E-3</v>
      </c>
      <c r="AH7" s="1">
        <f t="shared" ca="1" si="3"/>
        <v>3.7301756664140681E-3</v>
      </c>
      <c r="AI7" s="1">
        <f ca="1">AH7*EXP(-AH8)/(1-EXP(-AI8))</f>
        <v>1.0657250125611407E-2</v>
      </c>
    </row>
    <row r="8" spans="1:35">
      <c r="A8" s="5"/>
      <c r="B8" s="26"/>
      <c r="C8" s="26"/>
      <c r="E8" t="s">
        <v>111</v>
      </c>
      <c r="F8">
        <f ca="1">SUMXMY2(E4:E6,F4:F6)</f>
        <v>9488460.8183361627</v>
      </c>
      <c r="J8" t="s">
        <v>11</v>
      </c>
      <c r="K8" s="1">
        <f ca="1">M+f1_*flt1_ +f2_*flt2_ +f3_*flt3_</f>
        <v>0.15094427378561487</v>
      </c>
      <c r="L8" s="1">
        <f t="shared" ref="L8:AI8" ca="1" si="4">M+f1_*flt1_ +f2_*flt2_ +f3_*flt3_</f>
        <v>0.16012350159052979</v>
      </c>
      <c r="M8" s="1">
        <f t="shared" ca="1" si="4"/>
        <v>0.2076671125172187</v>
      </c>
      <c r="N8" s="1">
        <f t="shared" ca="1" si="4"/>
        <v>0.22699264953740475</v>
      </c>
      <c r="O8" s="1">
        <f t="shared" ca="1" si="4"/>
        <v>0.21186731672152537</v>
      </c>
      <c r="P8" s="1">
        <f t="shared" ca="1" si="4"/>
        <v>0.19808688441826219</v>
      </c>
      <c r="Q8" s="1">
        <f t="shared" ca="1" si="4"/>
        <v>0.19909708924714306</v>
      </c>
      <c r="R8" s="1">
        <f t="shared" ca="1" si="4"/>
        <v>0.20175675832856538</v>
      </c>
      <c r="S8" s="1">
        <f t="shared" ca="1" si="4"/>
        <v>0.19915918709284175</v>
      </c>
      <c r="T8" s="1">
        <f t="shared" ca="1" si="4"/>
        <v>0.19880918478683504</v>
      </c>
      <c r="U8" s="1">
        <f t="shared" ca="1" si="4"/>
        <v>0.20622855193696715</v>
      </c>
      <c r="V8" s="1">
        <f t="shared" ca="1" si="4"/>
        <v>0.22505331725095956</v>
      </c>
      <c r="W8" s="1">
        <f t="shared" ca="1" si="4"/>
        <v>0.25155928060225269</v>
      </c>
      <c r="X8" s="1">
        <f t="shared" ca="1" si="4"/>
        <v>0.27441299847060852</v>
      </c>
      <c r="Y8" s="1">
        <f t="shared" ca="1" si="4"/>
        <v>0.28733807482445889</v>
      </c>
      <c r="Z8" s="1">
        <f t="shared" ca="1" si="4"/>
        <v>0.29482994063834173</v>
      </c>
      <c r="AA8" s="1">
        <f t="shared" ca="1" si="4"/>
        <v>0.29800942955183762</v>
      </c>
      <c r="AB8" s="1">
        <f t="shared" ca="1" si="4"/>
        <v>0.29929139204051136</v>
      </c>
      <c r="AC8" s="1">
        <f t="shared" ca="1" si="4"/>
        <v>0.29979715195236623</v>
      </c>
      <c r="AD8" s="1">
        <f t="shared" ca="1" si="4"/>
        <v>0.29999456957728565</v>
      </c>
      <c r="AE8" s="1">
        <f t="shared" ca="1" si="4"/>
        <v>0.30007090867962261</v>
      </c>
      <c r="AF8" s="1">
        <f t="shared" ca="1" si="4"/>
        <v>0.30009991815292247</v>
      </c>
      <c r="AG8" s="1">
        <f t="shared" ca="1" si="4"/>
        <v>0.30011045917792845</v>
      </c>
      <c r="AH8" s="1">
        <f t="shared" ca="1" si="4"/>
        <v>0.30011379862529702</v>
      </c>
      <c r="AI8" s="1">
        <f t="shared" ca="1" si="4"/>
        <v>0.30011433065319865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0.85989561605151454</v>
      </c>
      <c r="L10" s="1">
        <f t="shared" ca="1" si="5"/>
        <v>0.85203855435136888</v>
      </c>
      <c r="M10" s="1">
        <f t="shared" ca="1" si="5"/>
        <v>0.81247745527486748</v>
      </c>
      <c r="N10" s="1">
        <f t="shared" ca="1" si="5"/>
        <v>0.79692664004806979</v>
      </c>
      <c r="O10" s="1">
        <f t="shared" ca="1" si="5"/>
        <v>0.80907204077591022</v>
      </c>
      <c r="P10" s="1">
        <f t="shared" ca="1" si="5"/>
        <v>0.82029857887673752</v>
      </c>
      <c r="Q10" s="1">
        <f t="shared" ca="1" si="5"/>
        <v>0.81947032771333128</v>
      </c>
      <c r="R10" s="1">
        <f t="shared" ca="1" si="5"/>
        <v>0.81729370365251797</v>
      </c>
      <c r="S10" s="1">
        <f t="shared" ca="1" si="5"/>
        <v>0.81941944195133076</v>
      </c>
      <c r="T10" s="1">
        <f t="shared" ca="1" si="5"/>
        <v>0.81970629084155866</v>
      </c>
      <c r="U10" s="1">
        <f t="shared" ca="1" si="5"/>
        <v>0.81364709441103644</v>
      </c>
      <c r="V10" s="1">
        <f t="shared" ca="1" si="5"/>
        <v>0.79847364520470865</v>
      </c>
      <c r="W10" s="1">
        <f t="shared" ca="1" si="5"/>
        <v>0.77758736039641729</v>
      </c>
      <c r="X10" s="1">
        <f t="shared" ca="1" si="5"/>
        <v>0.76001812411177938</v>
      </c>
      <c r="Y10" s="1">
        <f t="shared" ca="1" si="5"/>
        <v>0.75025804260096818</v>
      </c>
      <c r="Z10" s="1">
        <f t="shared" ca="1" si="5"/>
        <v>0.74465821279901467</v>
      </c>
      <c r="AA10" s="1">
        <f t="shared" ca="1" si="5"/>
        <v>0.7422943402118134</v>
      </c>
      <c r="AB10" s="1">
        <f t="shared" ca="1" si="5"/>
        <v>0.74134335640513016</v>
      </c>
      <c r="AC10" s="1">
        <f t="shared" ca="1" si="5"/>
        <v>0.74096850945381132</v>
      </c>
      <c r="AD10" s="1">
        <f t="shared" ca="1" si="5"/>
        <v>0.74082224364873384</v>
      </c>
      <c r="AE10" s="1">
        <f t="shared" ca="1" si="5"/>
        <v>0.74076569210223708</v>
      </c>
      <c r="AF10" s="1">
        <f t="shared" ca="1" si="5"/>
        <v>0.74074420319136303</v>
      </c>
      <c r="AG10" s="1">
        <f t="shared" ca="1" si="5"/>
        <v>0.74073639502934729</v>
      </c>
      <c r="AH10" s="1">
        <f t="shared" ca="1" si="5"/>
        <v>0.74073392138327243</v>
      </c>
      <c r="AI10" s="1">
        <f t="shared" ca="1" si="5"/>
        <v>0.74073352729226338</v>
      </c>
    </row>
    <row r="11" spans="1:35">
      <c r="A11" s="5">
        <v>1</v>
      </c>
      <c r="B11" s="25">
        <f>'Status Quo'!B11</f>
        <v>0.26028638242243257</v>
      </c>
      <c r="C11" s="18">
        <f ca="1">mpr1_/SUM(mpr1_,mpr2_,mpr3_)</f>
        <v>0.20366923842227971</v>
      </c>
      <c r="J11" t="s">
        <v>56</v>
      </c>
      <c r="K11" s="1">
        <f ca="1">1-sa</f>
        <v>0.14010438394848546</v>
      </c>
      <c r="L11" s="1">
        <f t="shared" ref="L11:AI11" ca="1" si="6">1-sa</f>
        <v>0.14796144564863112</v>
      </c>
      <c r="M11" s="1">
        <f t="shared" ca="1" si="6"/>
        <v>0.18752254472513252</v>
      </c>
      <c r="N11" s="1">
        <f t="shared" ca="1" si="6"/>
        <v>0.20307335995193021</v>
      </c>
      <c r="O11" s="1">
        <f t="shared" ca="1" si="6"/>
        <v>0.19092795922408978</v>
      </c>
      <c r="P11" s="1">
        <f t="shared" ca="1" si="6"/>
        <v>0.17970142112326248</v>
      </c>
      <c r="Q11" s="1">
        <f t="shared" ca="1" si="6"/>
        <v>0.18052967228666872</v>
      </c>
      <c r="R11" s="1">
        <f t="shared" ca="1" si="6"/>
        <v>0.18270629634748203</v>
      </c>
      <c r="S11" s="1">
        <f t="shared" ca="1" si="6"/>
        <v>0.18058055804866924</v>
      </c>
      <c r="T11" s="1">
        <f t="shared" ca="1" si="6"/>
        <v>0.18029370915844134</v>
      </c>
      <c r="U11" s="1">
        <f t="shared" ca="1" si="6"/>
        <v>0.18635290558896356</v>
      </c>
      <c r="V11" s="1">
        <f t="shared" ca="1" si="6"/>
        <v>0.20152635479529135</v>
      </c>
      <c r="W11" s="1">
        <f t="shared" ca="1" si="6"/>
        <v>0.22241263960358271</v>
      </c>
      <c r="X11" s="1">
        <f t="shared" ca="1" si="6"/>
        <v>0.23998187588822062</v>
      </c>
      <c r="Y11" s="1">
        <f t="shared" ca="1" si="6"/>
        <v>0.24974195739903182</v>
      </c>
      <c r="Z11" s="1">
        <f t="shared" ca="1" si="6"/>
        <v>0.25534178720098533</v>
      </c>
      <c r="AA11" s="1">
        <f t="shared" ca="1" si="6"/>
        <v>0.2577056597881866</v>
      </c>
      <c r="AB11" s="1">
        <f t="shared" ca="1" si="6"/>
        <v>0.25865664359486984</v>
      </c>
      <c r="AC11" s="1">
        <f t="shared" ca="1" si="6"/>
        <v>0.25903149054618868</v>
      </c>
      <c r="AD11" s="1">
        <f t="shared" ca="1" si="6"/>
        <v>0.25917775635126616</v>
      </c>
      <c r="AE11" s="1">
        <f t="shared" ca="1" si="6"/>
        <v>0.25923430789776292</v>
      </c>
      <c r="AF11" s="1">
        <f t="shared" ca="1" si="6"/>
        <v>0.25925579680863697</v>
      </c>
      <c r="AG11" s="1">
        <f t="shared" ca="1" si="6"/>
        <v>0.25926360497065271</v>
      </c>
      <c r="AH11" s="1">
        <f t="shared" ca="1" si="6"/>
        <v>0.25926607861672757</v>
      </c>
      <c r="AI11" s="1">
        <f t="shared" ca="1" si="6"/>
        <v>0.25926647270773662</v>
      </c>
    </row>
    <row r="12" spans="1:35">
      <c r="A12" s="5">
        <v>2</v>
      </c>
      <c r="B12" s="25">
        <f>'Status Quo'!B12</f>
        <v>0.55746237931999676</v>
      </c>
      <c r="C12" s="18">
        <f ca="1">mpr2_/SUM(mpr1_,mpr2_,mpr3_)</f>
        <v>0.68168058497866879</v>
      </c>
      <c r="J12" t="s">
        <v>100</v>
      </c>
      <c r="K12">
        <f>1/(1+EXP(($E18-len)/2.5))</f>
        <v>5.6126934388498569E-12</v>
      </c>
      <c r="L12">
        <f t="shared" ref="L12:AI12" si="7">1/(1+EXP(($E18-len)/2.5))</f>
        <v>1.2978976454834829E-9</v>
      </c>
      <c r="M12">
        <f t="shared" si="7"/>
        <v>1.99637952261423E-7</v>
      </c>
      <c r="N12">
        <f t="shared" si="7"/>
        <v>2.1058746277498515E-5</v>
      </c>
      <c r="O12">
        <f t="shared" si="7"/>
        <v>1.564676467664138E-3</v>
      </c>
      <c r="P12">
        <f t="shared" si="7"/>
        <v>7.7870643543285392E-2</v>
      </c>
      <c r="Q12">
        <f t="shared" si="7"/>
        <v>0.77146898694811417</v>
      </c>
      <c r="R12">
        <f>1/(1+EXP(($E18-len)/2.5))</f>
        <v>0.99032644321048724</v>
      </c>
      <c r="S12">
        <f t="shared" si="7"/>
        <v>0.99958428557508638</v>
      </c>
      <c r="T12">
        <f t="shared" si="7"/>
        <v>0.99997757111253649</v>
      </c>
      <c r="U12">
        <f t="shared" si="7"/>
        <v>0.99999849463304669</v>
      </c>
      <c r="V12">
        <f t="shared" si="7"/>
        <v>0.99999987630899723</v>
      </c>
      <c r="W12">
        <f t="shared" si="7"/>
        <v>0.99999998774476839</v>
      </c>
      <c r="X12">
        <f t="shared" si="7"/>
        <v>0.9999999985562078</v>
      </c>
      <c r="Y12">
        <f t="shared" si="7"/>
        <v>0.99999999980035637</v>
      </c>
      <c r="Z12">
        <f t="shared" si="7"/>
        <v>0.99999999996798428</v>
      </c>
      <c r="AA12">
        <f t="shared" si="7"/>
        <v>0.99999999999411138</v>
      </c>
      <c r="AB12">
        <f t="shared" si="7"/>
        <v>0.99999999999877054</v>
      </c>
      <c r="AC12">
        <f t="shared" si="7"/>
        <v>0.99999999999971134</v>
      </c>
      <c r="AD12">
        <f t="shared" si="7"/>
        <v>0.9999999999999245</v>
      </c>
      <c r="AE12">
        <f t="shared" si="7"/>
        <v>0.99999999999997824</v>
      </c>
      <c r="AF12">
        <f t="shared" si="7"/>
        <v>0.99999999999999312</v>
      </c>
      <c r="AG12">
        <f t="shared" si="7"/>
        <v>0.99999999999999756</v>
      </c>
      <c r="AH12">
        <f t="shared" si="7"/>
        <v>0.99999999999999911</v>
      </c>
      <c r="AI12">
        <f t="shared" si="7"/>
        <v>0.99999999999999956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0.11465017659905141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0.29071427129892163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1.1943370497725708E-2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2.8003936236140991E-6</v>
      </c>
      <c r="L18" s="4">
        <f t="shared" ref="K18:O20" si="11">((EXP(g*(ah-age)/gh)/(1+EXP((ah-age)/gh))) *(1/(1-g))*((1-g)/g)^g) *(sr+(1-sr)*dmr)</f>
        <v>7.1844380013164611E-6</v>
      </c>
      <c r="M18" s="4">
        <f t="shared" si="11"/>
        <v>1.8430976549083743E-5</v>
      </c>
      <c r="N18" s="4">
        <f t="shared" si="11"/>
        <v>4.7282803581427317E-5</v>
      </c>
      <c r="O18" s="4">
        <f t="shared" si="11"/>
        <v>1.2223426423525944E-4</v>
      </c>
      <c r="P18" s="4">
        <f t="shared" ref="P18:AI18" si="12">((EXP(g*(ah-age)/gh)/(1+EXP((ah-age)/gh))) *(1/(1-g))*((1-g)/g)^g) *(sr_1+(1-sr_1)*dmr)</f>
        <v>4.3768996698402487E-4</v>
      </c>
      <c r="Q18" s="4">
        <f t="shared" si="12"/>
        <v>4.0131745713037487E-3</v>
      </c>
      <c r="R18" s="4">
        <f t="shared" si="12"/>
        <v>1.2541150244253106E-2</v>
      </c>
      <c r="S18" s="4">
        <f t="shared" si="12"/>
        <v>3.1798242599123998E-2</v>
      </c>
      <c r="T18" s="4">
        <f t="shared" si="12"/>
        <v>7.7737150420918499E-2</v>
      </c>
      <c r="U18" s="4">
        <f t="shared" si="12"/>
        <v>0.17780713941703752</v>
      </c>
      <c r="V18" s="4">
        <f t="shared" si="12"/>
        <v>0.35685360493485607</v>
      </c>
      <c r="W18" s="4">
        <f t="shared" si="12"/>
        <v>0.58740289618622155</v>
      </c>
      <c r="X18" s="4">
        <f t="shared" si="12"/>
        <v>0.78510412883741709</v>
      </c>
      <c r="Y18" s="4">
        <f t="shared" si="12"/>
        <v>0.90364572740855598</v>
      </c>
      <c r="Z18" s="4">
        <f t="shared" si="12"/>
        <v>0.96014681956456516</v>
      </c>
      <c r="AA18" s="4">
        <f t="shared" si="12"/>
        <v>0.98412543858595092</v>
      </c>
      <c r="AB18" s="4">
        <f t="shared" si="12"/>
        <v>0.99379356165602495</v>
      </c>
      <c r="AC18" s="4">
        <f t="shared" si="12"/>
        <v>0.9976078301037562</v>
      </c>
      <c r="AD18" s="4">
        <f t="shared" si="12"/>
        <v>0.99909668637746618</v>
      </c>
      <c r="AE18" s="4">
        <f t="shared" si="12"/>
        <v>0.99967240980383243</v>
      </c>
      <c r="AF18" s="4">
        <f t="shared" si="12"/>
        <v>0.99989118933953602</v>
      </c>
      <c r="AG18" s="4">
        <f t="shared" si="12"/>
        <v>0.99997068614848539</v>
      </c>
      <c r="AH18" s="4">
        <f t="shared" si="12"/>
        <v>0.99999587111952071</v>
      </c>
      <c r="AI18" s="4">
        <f t="shared" si="12"/>
        <v>0.99999988349217195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104</v>
      </c>
      <c r="K19" s="4">
        <f t="shared" si="11"/>
        <v>9.6368750117234673E-3</v>
      </c>
      <c r="L19" s="4">
        <f t="shared" si="11"/>
        <v>0.10338686902456193</v>
      </c>
      <c r="M19" s="4">
        <f t="shared" si="11"/>
        <v>0.58900148418547171</v>
      </c>
      <c r="N19" s="4">
        <f t="shared" si="11"/>
        <v>0.78620159371546716</v>
      </c>
      <c r="O19" s="4">
        <f t="shared" si="11"/>
        <v>0.63094246044403202</v>
      </c>
      <c r="P19" s="4">
        <f t="shared" ref="P19:Y19" si="13">((EXP(g*(ah-age)/gh)/(1+EXP((ah-age)/gh))) *(1/(1-g))*((1-g)/g)^g) *(sr_2+(1-sr_2)*dmr)</f>
        <v>0.48244868920073086</v>
      </c>
      <c r="Q19" s="4">
        <f t="shared" si="13"/>
        <v>0.36785203592790405</v>
      </c>
      <c r="R19" s="4">
        <f t="shared" si="13"/>
        <v>0.28041526174778192</v>
      </c>
      <c r="S19" s="4">
        <f t="shared" si="13"/>
        <v>0.21375876430078386</v>
      </c>
      <c r="T19" s="4">
        <f t="shared" si="13"/>
        <v>0.16294678762579537</v>
      </c>
      <c r="U19" s="4">
        <f t="shared" si="13"/>
        <v>0.12421317095808988</v>
      </c>
      <c r="V19" s="4">
        <f t="shared" si="13"/>
        <v>9.4686811567246135E-2</v>
      </c>
      <c r="W19" s="4">
        <f t="shared" si="13"/>
        <v>7.2179079023195244E-2</v>
      </c>
      <c r="X19" s="4">
        <f t="shared" si="13"/>
        <v>5.5021595534917263E-2</v>
      </c>
      <c r="Y19" s="115">
        <f t="shared" si="13"/>
        <v>4.1942568624911379E-2</v>
      </c>
      <c r="Z19" s="4">
        <f>Y19</f>
        <v>4.1942568624911379E-2</v>
      </c>
      <c r="AA19" s="4">
        <f t="shared" ref="AA19:AI20" si="14">Z19</f>
        <v>4.1942568624911379E-2</v>
      </c>
      <c r="AB19" s="4">
        <f t="shared" si="14"/>
        <v>4.1942568624911379E-2</v>
      </c>
      <c r="AC19" s="4">
        <f t="shared" si="14"/>
        <v>4.1942568624911379E-2</v>
      </c>
      <c r="AD19" s="4">
        <f t="shared" si="14"/>
        <v>4.1942568624911379E-2</v>
      </c>
      <c r="AE19" s="4">
        <f t="shared" si="14"/>
        <v>4.1942568624911379E-2</v>
      </c>
      <c r="AF19" s="4">
        <f t="shared" si="14"/>
        <v>4.1942568624911379E-2</v>
      </c>
      <c r="AG19" s="4">
        <f t="shared" si="14"/>
        <v>4.1942568624911379E-2</v>
      </c>
      <c r="AH19" s="4">
        <f t="shared" si="14"/>
        <v>4.1942568624911379E-2</v>
      </c>
      <c r="AI19" s="4">
        <f t="shared" si="14"/>
        <v>4.1942568624911379E-2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1"/>
        <v>2.2510614333307156E-5</v>
      </c>
      <c r="L20" s="4">
        <f t="shared" si="11"/>
        <v>8.0630272519583498E-5</v>
      </c>
      <c r="M20" s="4">
        <f t="shared" si="11"/>
        <v>2.8814426343204755E-4</v>
      </c>
      <c r="N20" s="4">
        <f t="shared" si="11"/>
        <v>1.0209696764107985E-3</v>
      </c>
      <c r="O20" s="4">
        <f t="shared" si="11"/>
        <v>3.6395964263644795E-3</v>
      </c>
      <c r="P20" s="4">
        <f t="shared" ref="P20:Y20" si="15">((EXP(g*(ah-age)/gh)/(1+EXP((ah-age)/gh))) *(1/(1-g))*((1-g)/g)^g) *(sr_3+(1-sr_3)*dmr)</f>
        <v>3.3246043236910654E-2</v>
      </c>
      <c r="Q20" s="4">
        <f t="shared" si="15"/>
        <v>0.52071205722667446</v>
      </c>
      <c r="R20" s="4">
        <f t="shared" si="15"/>
        <v>0.93908880481731272</v>
      </c>
      <c r="S20" s="4">
        <f t="shared" si="15"/>
        <v>0.99607347533585666</v>
      </c>
      <c r="T20" s="4">
        <f t="shared" si="15"/>
        <v>0.9352196649008131</v>
      </c>
      <c r="U20" s="4">
        <f t="shared" si="15"/>
        <v>0.84987243594328499</v>
      </c>
      <c r="V20" s="4">
        <f t="shared" si="15"/>
        <v>0.7658549491047888</v>
      </c>
      <c r="W20" s="4">
        <f t="shared" si="15"/>
        <v>0.68868156786342249</v>
      </c>
      <c r="X20" s="4">
        <f t="shared" si="15"/>
        <v>0.61895509223172329</v>
      </c>
      <c r="Y20" s="4">
        <f t="shared" si="15"/>
        <v>0.55621388310667164</v>
      </c>
      <c r="Z20" s="4">
        <f>Y20</f>
        <v>0.55621388310667164</v>
      </c>
      <c r="AA20" s="4">
        <f t="shared" si="14"/>
        <v>0.55621388310667164</v>
      </c>
      <c r="AB20" s="4">
        <f t="shared" si="14"/>
        <v>0.55621388310667164</v>
      </c>
      <c r="AC20" s="4">
        <f t="shared" si="14"/>
        <v>0.55621388310667164</v>
      </c>
      <c r="AD20" s="4">
        <f t="shared" si="14"/>
        <v>0.55621388310667164</v>
      </c>
      <c r="AE20" s="4">
        <f t="shared" si="14"/>
        <v>0.55621388310667164</v>
      </c>
      <c r="AF20" s="4">
        <f t="shared" si="14"/>
        <v>0.55621388310667164</v>
      </c>
      <c r="AG20" s="4">
        <f t="shared" si="14"/>
        <v>0.55621388310667164</v>
      </c>
      <c r="AH20" s="4">
        <f t="shared" si="14"/>
        <v>0.55621388310667164</v>
      </c>
      <c r="AI20" s="4">
        <f t="shared" si="14"/>
        <v>0.55621388310667164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6">wa*flt1_*(1-EXP(-za))/za</f>
        <v>1.8236218590314333E-7</v>
      </c>
      <c r="L22" s="1">
        <f t="shared" ca="1" si="16"/>
        <v>3.0696703416999651E-6</v>
      </c>
      <c r="M22" s="1">
        <f t="shared" ca="1" si="16"/>
        <v>2.332811645365407E-5</v>
      </c>
      <c r="N22" s="1">
        <f t="shared" ca="1" si="16"/>
        <v>1.2801466683452033E-4</v>
      </c>
      <c r="O22" s="1">
        <f t="shared" ca="1" si="16"/>
        <v>5.9470956751627997E-4</v>
      </c>
      <c r="P22" s="1">
        <f t="shared" ca="1" si="16"/>
        <v>3.3844241846518763E-3</v>
      </c>
      <c r="Q22" s="1">
        <f t="shared" ca="1" si="16"/>
        <v>4.4986582159895601E-2</v>
      </c>
      <c r="R22" s="1">
        <f t="shared" ca="1" si="16"/>
        <v>0.19137075684219981</v>
      </c>
      <c r="S22" s="1">
        <f t="shared" ca="1" si="16"/>
        <v>0.63155794870805082</v>
      </c>
      <c r="T22" s="1">
        <f t="shared" ca="1" si="16"/>
        <v>1.9340863713638132</v>
      </c>
      <c r="U22" s="1">
        <f t="shared" ca="1" si="16"/>
        <v>5.3580333155647084</v>
      </c>
      <c r="V22" s="1">
        <f t="shared" ca="1" si="16"/>
        <v>12.639223091718598</v>
      </c>
      <c r="W22" s="1">
        <f t="shared" ca="1" si="16"/>
        <v>23.872169375588598</v>
      </c>
      <c r="X22" s="1">
        <f t="shared" ca="1" si="16"/>
        <v>36.051387364459643</v>
      </c>
      <c r="Y22" s="1">
        <f t="shared" ca="1" si="16"/>
        <v>46.423714042651113</v>
      </c>
      <c r="Z22" s="1">
        <f t="shared" ca="1" si="16"/>
        <v>54.636750869896034</v>
      </c>
      <c r="AA22" s="1">
        <f t="shared" ca="1" si="16"/>
        <v>61.483243460066127</v>
      </c>
      <c r="AB22" s="1">
        <f t="shared" ca="1" si="16"/>
        <v>67.580354586601047</v>
      </c>
      <c r="AC22" s="1">
        <f t="shared" ca="1" si="16"/>
        <v>73.254763254679915</v>
      </c>
      <c r="AD22" s="1">
        <f t="shared" ca="1" si="16"/>
        <v>78.650295537515021</v>
      </c>
      <c r="AE22" s="1">
        <f t="shared" ca="1" si="16"/>
        <v>83.822055246912967</v>
      </c>
      <c r="AF22" s="1">
        <f t="shared" ca="1" si="16"/>
        <v>88.787043688227058</v>
      </c>
      <c r="AG22" s="1">
        <f t="shared" ca="1" si="16"/>
        <v>93.547694421052086</v>
      </c>
      <c r="AH22" s="1">
        <f t="shared" ca="1" si="16"/>
        <v>98.102060450761329</v>
      </c>
      <c r="AI22" s="1">
        <f t="shared" ca="1" si="16"/>
        <v>102.44795032314889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7">wa*flt2_*(1-EXP(-za))/za</f>
        <v>6.2755520423776181E-4</v>
      </c>
      <c r="L23" s="1">
        <f t="shared" ca="1" si="17"/>
        <v>4.4173755206428612E-2</v>
      </c>
      <c r="M23" s="1">
        <f t="shared" ca="1" si="17"/>
        <v>0.7455001192075652</v>
      </c>
      <c r="N23" s="1">
        <f t="shared" ca="1" si="17"/>
        <v>2.1285822214609098</v>
      </c>
      <c r="O23" s="1">
        <f t="shared" ca="1" si="17"/>
        <v>3.0697408793343115</v>
      </c>
      <c r="P23" s="1">
        <f t="shared" ca="1" si="17"/>
        <v>3.7305196251943</v>
      </c>
      <c r="Q23" s="1">
        <f t="shared" ca="1" si="17"/>
        <v>4.1235200569855825</v>
      </c>
      <c r="R23" s="1">
        <f t="shared" ca="1" si="17"/>
        <v>4.2789759970675263</v>
      </c>
      <c r="S23" s="1">
        <f t="shared" ca="1" si="17"/>
        <v>4.2455505608316191</v>
      </c>
      <c r="T23" s="1">
        <f t="shared" ca="1" si="17"/>
        <v>4.0540868747841197</v>
      </c>
      <c r="U23" s="1">
        <f t="shared" ca="1" si="17"/>
        <v>3.7430347870587712</v>
      </c>
      <c r="V23" s="1">
        <f t="shared" ca="1" si="17"/>
        <v>3.3536658133533948</v>
      </c>
      <c r="W23" s="1">
        <f t="shared" ca="1" si="17"/>
        <v>2.9333719854003815</v>
      </c>
      <c r="X23" s="1">
        <f t="shared" ca="1" si="17"/>
        <v>2.5265500220680908</v>
      </c>
      <c r="Y23" s="1">
        <f t="shared" ca="1" si="17"/>
        <v>2.1547490935867848</v>
      </c>
      <c r="Z23" s="1">
        <f t="shared" ca="1" si="17"/>
        <v>2.386724223949483</v>
      </c>
      <c r="AA23" s="1">
        <f t="shared" ca="1" si="17"/>
        <v>2.6203622597250185</v>
      </c>
      <c r="AB23" s="1">
        <f t="shared" ca="1" si="17"/>
        <v>2.852195636306047</v>
      </c>
      <c r="AC23" s="1">
        <f t="shared" ca="1" si="17"/>
        <v>3.0798604844465731</v>
      </c>
      <c r="AD23" s="1">
        <f t="shared" ca="1" si="17"/>
        <v>3.3017779589606966</v>
      </c>
      <c r="AE23" s="1">
        <f t="shared" ca="1" si="17"/>
        <v>3.516864394771738</v>
      </c>
      <c r="AF23" s="1">
        <f t="shared" ca="1" si="17"/>
        <v>3.7243619231771361</v>
      </c>
      <c r="AG23" s="1">
        <f t="shared" ca="1" si="17"/>
        <v>3.9237456130534984</v>
      </c>
      <c r="AH23" s="1">
        <f t="shared" ca="1" si="17"/>
        <v>4.1146693916793922</v>
      </c>
      <c r="AI23" s="1">
        <f t="shared" ca="1" si="17"/>
        <v>4.2969306875362454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8">wa*flt3_*(1-EXP(-za))/za</f>
        <v>1.465895651678649E-6</v>
      </c>
      <c r="L24" s="1">
        <f t="shared" ca="1" si="18"/>
        <v>3.4450621767659254E-5</v>
      </c>
      <c r="M24" s="1">
        <f t="shared" ca="1" si="18"/>
        <v>3.647046544112359E-4</v>
      </c>
      <c r="N24" s="1">
        <f t="shared" ca="1" si="18"/>
        <v>2.7641993087147432E-3</v>
      </c>
      <c r="O24" s="1">
        <f t="shared" ca="1" si="18"/>
        <v>1.7707823826640663E-2</v>
      </c>
      <c r="P24" s="1">
        <f t="shared" ca="1" si="18"/>
        <v>0.25707400503217193</v>
      </c>
      <c r="Q24" s="1">
        <f t="shared" ca="1" si="18"/>
        <v>5.8370388150012671</v>
      </c>
      <c r="R24" s="1">
        <f t="shared" ca="1" si="18"/>
        <v>14.329956329346961</v>
      </c>
      <c r="S24" s="1">
        <f t="shared" ca="1" si="18"/>
        <v>19.783424158885534</v>
      </c>
      <c r="T24" s="1">
        <f t="shared" ca="1" si="18"/>
        <v>23.26809766401421</v>
      </c>
      <c r="U24" s="1">
        <f t="shared" ca="1" si="18"/>
        <v>25.610022413576512</v>
      </c>
      <c r="V24" s="1">
        <f t="shared" ca="1" si="18"/>
        <v>27.125441424079987</v>
      </c>
      <c r="W24" s="1">
        <f t="shared" ca="1" si="18"/>
        <v>27.988154536898193</v>
      </c>
      <c r="X24" s="1">
        <f t="shared" ca="1" si="18"/>
        <v>28.421949358862214</v>
      </c>
      <c r="Y24" s="1">
        <f t="shared" ca="1" si="18"/>
        <v>28.574820278237524</v>
      </c>
      <c r="Z24" s="1">
        <f t="shared" ca="1" si="18"/>
        <v>31.651117040057162</v>
      </c>
      <c r="AA24" s="1">
        <f t="shared" ca="1" si="18"/>
        <v>34.749466125023353</v>
      </c>
      <c r="AB24" s="1">
        <f t="shared" ca="1" si="18"/>
        <v>37.823883044383827</v>
      </c>
      <c r="AC24" s="1">
        <f t="shared" ca="1" si="18"/>
        <v>40.843019768306874</v>
      </c>
      <c r="AD24" s="1">
        <f t="shared" ca="1" si="18"/>
        <v>43.785938723332777</v>
      </c>
      <c r="AE24" s="1">
        <f t="shared" ca="1" si="18"/>
        <v>46.638269078583789</v>
      </c>
      <c r="AF24" s="1">
        <f t="shared" ca="1" si="18"/>
        <v>49.389960493612072</v>
      </c>
      <c r="AG24" s="1">
        <f t="shared" ca="1" si="18"/>
        <v>52.034051688074598</v>
      </c>
      <c r="AH24" s="1">
        <f t="shared" ca="1" si="18"/>
        <v>54.565953280382729</v>
      </c>
      <c r="AI24" s="1">
        <f t="shared" ca="1" si="18"/>
        <v>56.982978904521133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F26" t="s">
        <v>143</v>
      </c>
      <c r="J26" s="8" t="s">
        <v>30</v>
      </c>
      <c r="K26">
        <f ca="1">qa1_/wa</f>
        <v>2.599286568544949E-6</v>
      </c>
      <c r="L26">
        <f t="shared" ref="L26:AI26" ca="1" si="19">qa1_/wa</f>
        <v>6.6387496044529157E-6</v>
      </c>
      <c r="M26">
        <f t="shared" ca="1" si="19"/>
        <v>1.6643095685008151E-5</v>
      </c>
      <c r="N26">
        <f t="shared" ca="1" si="19"/>
        <v>4.2300390831137336E-5</v>
      </c>
      <c r="O26">
        <f t="shared" ca="1" si="19"/>
        <v>1.1015355732461181E-4</v>
      </c>
      <c r="P26">
        <f t="shared" ca="1" si="19"/>
        <v>3.9706570836030481E-4</v>
      </c>
      <c r="Q26">
        <f t="shared" ca="1" si="19"/>
        <v>3.6389135216704539E-3</v>
      </c>
      <c r="R26">
        <f t="shared" ca="1" si="19"/>
        <v>1.135697823481727E-2</v>
      </c>
      <c r="S26">
        <f t="shared" ca="1" si="19"/>
        <v>2.8831933275766844E-2</v>
      </c>
      <c r="T26">
        <f t="shared" ca="1" si="19"/>
        <v>7.0497342483561057E-2</v>
      </c>
      <c r="U26">
        <f t="shared" ca="1" si="19"/>
        <v>0.16067065764470093</v>
      </c>
      <c r="V26">
        <f t="shared" ca="1" si="19"/>
        <v>0.31954830560389752</v>
      </c>
      <c r="W26">
        <f t="shared" ca="1" si="19"/>
        <v>0.51934410187050317</v>
      </c>
      <c r="X26">
        <f t="shared" ca="1" si="19"/>
        <v>0.68659561557238202</v>
      </c>
      <c r="Y26">
        <f t="shared" ca="1" si="19"/>
        <v>0.78541019284045965</v>
      </c>
      <c r="Z26">
        <f t="shared" ca="1" si="19"/>
        <v>0.83154921224128542</v>
      </c>
      <c r="AA26">
        <f t="shared" ca="1" si="19"/>
        <v>0.85102909611461031</v>
      </c>
      <c r="AB26">
        <f t="shared" ca="1" si="19"/>
        <v>0.85886635539903833</v>
      </c>
      <c r="AC26">
        <f t="shared" ca="1" si="19"/>
        <v>0.86195563076390769</v>
      </c>
      <c r="AD26">
        <f t="shared" ca="1" si="19"/>
        <v>0.86316108294282412</v>
      </c>
      <c r="AE26">
        <f t="shared" ca="1" si="19"/>
        <v>0.86362715539570001</v>
      </c>
      <c r="AF26">
        <f t="shared" ca="1" si="19"/>
        <v>0.86380425762749469</v>
      </c>
      <c r="AG26">
        <f t="shared" ca="1" si="19"/>
        <v>0.86386860913143526</v>
      </c>
      <c r="AH26">
        <f t="shared" ca="1" si="19"/>
        <v>0.86388899585979517</v>
      </c>
      <c r="AI26">
        <f t="shared" ca="1" si="19"/>
        <v>0.86389224378879137</v>
      </c>
      <c r="AM26" s="44"/>
    </row>
    <row r="27" spans="1:39">
      <c r="A27" t="s">
        <v>14</v>
      </c>
      <c r="B27" s="28">
        <f ca="1">fbar*C27</f>
        <v>0.13259683181338358</v>
      </c>
      <c r="C27" s="36">
        <f ca="1">CHOOSE(C$25,E36,E39,1)</f>
        <v>1.5624136115508789</v>
      </c>
      <c r="E27" s="42">
        <f ca="1">f1_/(F4/(f1_*365*re*phib))</f>
        <v>137.69653621994186</v>
      </c>
      <c r="F27" s="109">
        <f ca="1">F4/E27</f>
        <v>161.1342628353309</v>
      </c>
      <c r="J27" s="8" t="s">
        <v>31</v>
      </c>
      <c r="K27">
        <f t="shared" ref="K27:AI27" ca="1" si="20">qa2_/wa</f>
        <v>8.9448138895530764E-3</v>
      </c>
      <c r="L27">
        <f t="shared" ca="1" si="20"/>
        <v>9.5534199852050916E-2</v>
      </c>
      <c r="M27">
        <f t="shared" ca="1" si="20"/>
        <v>0.53186590703995806</v>
      </c>
      <c r="N27">
        <f t="shared" ca="1" si="20"/>
        <v>0.7033558115680455</v>
      </c>
      <c r="O27">
        <f t="shared" ca="1" si="20"/>
        <v>0.56858489654986055</v>
      </c>
      <c r="P27">
        <f t="shared" ca="1" si="20"/>
        <v>0.43767014319517306</v>
      </c>
      <c r="Q27">
        <f t="shared" ca="1" si="20"/>
        <v>0.33354685267957196</v>
      </c>
      <c r="R27">
        <f t="shared" ca="1" si="20"/>
        <v>0.25393763429630384</v>
      </c>
      <c r="S27">
        <f t="shared" ca="1" si="20"/>
        <v>0.19381820898493166</v>
      </c>
      <c r="T27">
        <f t="shared" ca="1" si="20"/>
        <v>0.14777124491510346</v>
      </c>
      <c r="U27">
        <f t="shared" ca="1" si="20"/>
        <v>0.11224190396067776</v>
      </c>
      <c r="V27">
        <f t="shared" ca="1" si="20"/>
        <v>8.4788299125834729E-2</v>
      </c>
      <c r="W27">
        <f t="shared" ca="1" si="20"/>
        <v>6.3816128950881901E-2</v>
      </c>
      <c r="X27">
        <f t="shared" ca="1" si="20"/>
        <v>4.8117930945048307E-2</v>
      </c>
      <c r="Y27">
        <f t="shared" ca="1" si="20"/>
        <v>3.6454685628167741E-2</v>
      </c>
      <c r="Z27">
        <f t="shared" ca="1" si="20"/>
        <v>3.6324975710733773E-2</v>
      </c>
      <c r="AA27">
        <f t="shared" ca="1" si="20"/>
        <v>3.6270118489032326E-2</v>
      </c>
      <c r="AB27">
        <f t="shared" ca="1" si="20"/>
        <v>3.6248032228065601E-2</v>
      </c>
      <c r="AC27">
        <f t="shared" ca="1" si="20"/>
        <v>3.6239323814433094E-2</v>
      </c>
      <c r="AD27">
        <f t="shared" ca="1" si="20"/>
        <v>3.6235925360685657E-2</v>
      </c>
      <c r="AE27">
        <f t="shared" ca="1" si="20"/>
        <v>3.6234611334956424E-2</v>
      </c>
      <c r="AF27">
        <f t="shared" ca="1" si="20"/>
        <v>3.6234112011691147E-2</v>
      </c>
      <c r="AG27">
        <f t="shared" ca="1" si="20"/>
        <v>3.6233930577462707E-2</v>
      </c>
      <c r="AH27">
        <f t="shared" ca="1" si="20"/>
        <v>3.6233873098486573E-2</v>
      </c>
      <c r="AI27">
        <f t="shared" ca="1" si="20"/>
        <v>3.6233863941168835E-2</v>
      </c>
    </row>
    <row r="28" spans="1:39">
      <c r="A28" t="s">
        <v>15</v>
      </c>
      <c r="B28" s="28">
        <f ca="1">fbar*C28</f>
        <v>9.789062045812405E-2</v>
      </c>
      <c r="C28" s="36">
        <f ca="1">CHOOSE(C$25,E37,E40,1)</f>
        <v>1.15346374234785</v>
      </c>
      <c r="E28" s="42">
        <f ca="1">f2_/(F5/(f2_*365*re*phib))</f>
        <v>201.23165443719</v>
      </c>
      <c r="F28" s="109">
        <f t="shared" ref="F28:F29" ca="1" si="21">F5/E28</f>
        <v>41.120387616275245</v>
      </c>
      <c r="J28" s="8" t="s">
        <v>32</v>
      </c>
      <c r="K28">
        <f t="shared" ref="K28:AI28" ca="1" si="22">qa3_/wa</f>
        <v>2.0894040392345837E-5</v>
      </c>
      <c r="L28">
        <f t="shared" ca="1" si="22"/>
        <v>7.4506062923534379E-5</v>
      </c>
      <c r="M28">
        <f t="shared" ca="1" si="22"/>
        <v>2.601930795481461E-4</v>
      </c>
      <c r="N28">
        <f t="shared" ca="1" si="22"/>
        <v>9.1338527049357541E-4</v>
      </c>
      <c r="O28">
        <f t="shared" ca="1" si="22"/>
        <v>3.2798863403666239E-3</v>
      </c>
      <c r="P28">
        <f t="shared" ca="1" si="22"/>
        <v>3.016030684688522E-2</v>
      </c>
      <c r="Q28">
        <f t="shared" ca="1" si="22"/>
        <v>0.47215143828727546</v>
      </c>
      <c r="R28">
        <f t="shared" ca="1" si="22"/>
        <v>0.85041729898404184</v>
      </c>
      <c r="S28">
        <f t="shared" ca="1" si="22"/>
        <v>0.90315443971849474</v>
      </c>
      <c r="T28">
        <f t="shared" ca="1" si="22"/>
        <v>0.84812088759214932</v>
      </c>
      <c r="U28">
        <f t="shared" ca="1" si="22"/>
        <v>0.76796445657247525</v>
      </c>
      <c r="V28">
        <f t="shared" ca="1" si="22"/>
        <v>0.68579285157976677</v>
      </c>
      <c r="W28">
        <f t="shared" ca="1" si="22"/>
        <v>0.6088882309892647</v>
      </c>
      <c r="X28">
        <f t="shared" ca="1" si="22"/>
        <v>0.54129361565299539</v>
      </c>
      <c r="Y28">
        <f t="shared" ca="1" si="22"/>
        <v>0.48343730285114356</v>
      </c>
      <c r="Z28">
        <f t="shared" ca="1" si="22"/>
        <v>0.48171717794657254</v>
      </c>
      <c r="AA28">
        <f t="shared" ca="1" si="22"/>
        <v>0.48098969869817743</v>
      </c>
      <c r="AB28">
        <f t="shared" ca="1" si="22"/>
        <v>0.48069680569285222</v>
      </c>
      <c r="AC28">
        <f t="shared" ca="1" si="22"/>
        <v>0.4805813206207396</v>
      </c>
      <c r="AD28">
        <f t="shared" ca="1" si="22"/>
        <v>0.48053625263331312</v>
      </c>
      <c r="AE28">
        <f t="shared" ca="1" si="22"/>
        <v>0.48051882691578274</v>
      </c>
      <c r="AF28">
        <f t="shared" ca="1" si="22"/>
        <v>0.48051220522947663</v>
      </c>
      <c r="AG28">
        <f t="shared" ca="1" si="22"/>
        <v>0.48050979917185949</v>
      </c>
      <c r="AH28">
        <f t="shared" ca="1" si="22"/>
        <v>0.48050903692468272</v>
      </c>
      <c r="AI28">
        <f t="shared" ca="1" si="22"/>
        <v>0.48050891548654906</v>
      </c>
    </row>
    <row r="29" spans="1:39">
      <c r="A29" t="s">
        <v>19</v>
      </c>
      <c r="B29" s="28">
        <f ca="1">fbar*C29</f>
        <v>2.4112541289286471E-2</v>
      </c>
      <c r="C29" s="36">
        <f ca="1">CHOOSE(C$25,E38,E41,1)</f>
        <v>0.28412264610127097</v>
      </c>
      <c r="E29" s="42">
        <f ca="1">f3_/(F6/(f3_*365*re*phib))</f>
        <v>16.057048585619402</v>
      </c>
      <c r="F29" s="109">
        <f t="shared" ca="1" si="21"/>
        <v>391.8520820888038</v>
      </c>
    </row>
    <row r="30" spans="1:39">
      <c r="A30" t="s">
        <v>95</v>
      </c>
      <c r="B30" s="28">
        <v>8.4866664520264701E-2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0.2545999935607941</v>
      </c>
      <c r="G31">
        <f ca="1">SUMPRODUCT(dlz1_,wa,ma)</f>
        <v>-93.045994585964507</v>
      </c>
      <c r="H31">
        <f ca="1">Ro/(reck-1)*phie/phif^2*dphif</f>
        <v>-10324.781250419397</v>
      </c>
      <c r="J31" s="8" t="s">
        <v>52</v>
      </c>
      <c r="K31">
        <v>0</v>
      </c>
      <c r="L31">
        <f t="shared" ref="L31:AH31" ca="1" si="23">K31*sa-K$7*K18*K$10</f>
        <v>-2.408046200164379E-6</v>
      </c>
      <c r="M31">
        <f t="shared" ca="1" si="23"/>
        <v>-7.2202638959782088E-6</v>
      </c>
      <c r="N31">
        <f t="shared" ca="1" si="23"/>
        <v>-1.6725486282210761E-5</v>
      </c>
      <c r="O31">
        <f t="shared" ca="1" si="23"/>
        <v>-3.5962567051562104E-5</v>
      </c>
      <c r="P31">
        <f t="shared" ca="1" si="23"/>
        <v>-7.6415375473723733E-5</v>
      </c>
      <c r="Q31">
        <f t="shared" ca="1" si="23"/>
        <v>-2.0042367768481167E-4</v>
      </c>
      <c r="R31">
        <f t="shared" ca="1" si="23"/>
        <v>-1.1992215126699311E-3</v>
      </c>
      <c r="S31">
        <f t="shared" ca="1" si="23"/>
        <v>-3.6271592328332106E-3</v>
      </c>
      <c r="T31">
        <f t="shared" ca="1" si="23"/>
        <v>-8.4675330402629121E-3</v>
      </c>
      <c r="U31">
        <f t="shared" ca="1" si="23"/>
        <v>-1.7899862880354035E-2</v>
      </c>
      <c r="V31">
        <f t="shared" ca="1" si="23"/>
        <v>-3.4783183559281901E-2</v>
      </c>
      <c r="W31">
        <f t="shared" ca="1" si="23"/>
        <v>-5.9883434294316612E-2</v>
      </c>
      <c r="X31">
        <f t="shared" ca="1" si="23"/>
        <v>-8.7541746952534166E-2</v>
      </c>
      <c r="Y31">
        <f t="shared" ca="1" si="23"/>
        <v>-0.10837289355630864</v>
      </c>
      <c r="Z31">
        <f t="shared" ca="1" si="23"/>
        <v>-0.11756866354524517</v>
      </c>
      <c r="AA31">
        <f t="shared" ca="1" si="23"/>
        <v>-0.11644111664442768</v>
      </c>
      <c r="AB31">
        <f t="shared" ca="1" si="23"/>
        <v>-0.1085167557719717</v>
      </c>
      <c r="AC31">
        <f t="shared" ca="1" si="23"/>
        <v>-9.702244320614814E-2</v>
      </c>
      <c r="AD31">
        <f t="shared" ca="1" si="23"/>
        <v>-8.4234785965555087E-2</v>
      </c>
      <c r="AE31">
        <f t="shared" ca="1" si="23"/>
        <v>-7.1567282281716743E-2</v>
      </c>
      <c r="AF31">
        <f t="shared" ca="1" si="23"/>
        <v>-5.980907570570021E-2</v>
      </c>
      <c r="AG31">
        <f t="shared" ca="1" si="23"/>
        <v>-4.9337977876221607E-2</v>
      </c>
      <c r="AH31">
        <f t="shared" ca="1" si="23"/>
        <v>-4.0276380145973234E-2</v>
      </c>
      <c r="AI31">
        <f ca="1">(AH31*sa-AH$7*AH18*AH$10)/oa-AH$7*AH$10*flt1_*sa/oa^2</f>
        <v>-0.15617639452840767</v>
      </c>
    </row>
    <row r="32" spans="1:39">
      <c r="A32" s="12" t="s">
        <v>22</v>
      </c>
      <c r="B32" s="12"/>
      <c r="C32" s="12"/>
      <c r="G32">
        <f ca="1">SUMPRODUCT(dlz2_,wa,ma)</f>
        <v>-106.19173838452814</v>
      </c>
      <c r="H32">
        <f ca="1">Ro/(reck-1)*phie/phif^2*dphif</f>
        <v>-11783.489168994331</v>
      </c>
      <c r="J32" s="8" t="s">
        <v>53</v>
      </c>
      <c r="K32">
        <v>0</v>
      </c>
      <c r="L32">
        <f t="shared" ref="L32:AH32" ca="1" si="24">K32*sa-K$7*K19*K$10</f>
        <v>-8.2867065750173979E-3</v>
      </c>
      <c r="M32">
        <f t="shared" ca="1" si="24"/>
        <v>-8.2480621774013566E-2</v>
      </c>
      <c r="N32">
        <f t="shared" ca="1" si="24"/>
        <v>-0.41634777897416508</v>
      </c>
      <c r="O32">
        <f t="shared" ca="1" si="24"/>
        <v>-0.70982076537796179</v>
      </c>
      <c r="P32">
        <f t="shared" ca="1" si="24"/>
        <v>-0.82443008723005384</v>
      </c>
      <c r="Q32">
        <f t="shared" ca="1" si="24"/>
        <v>-0.82749150112886838</v>
      </c>
      <c r="R32">
        <f t="shared" ca="1" si="24"/>
        <v>-0.77121101968618699</v>
      </c>
      <c r="S32">
        <f t="shared" ca="1" si="24"/>
        <v>-0.69107516064940244</v>
      </c>
      <c r="T32">
        <f t="shared" ca="1" si="24"/>
        <v>-0.60341342487456651</v>
      </c>
      <c r="U32">
        <f t="shared" ca="1" si="24"/>
        <v>-0.51404450187216133</v>
      </c>
      <c r="V32">
        <f t="shared" ca="1" si="24"/>
        <v>-0.42476539689357296</v>
      </c>
      <c r="W32">
        <f t="shared" ca="1" si="24"/>
        <v>-0.33900496619834336</v>
      </c>
      <c r="X32">
        <f t="shared" ca="1" si="24"/>
        <v>-0.26281440215178364</v>
      </c>
      <c r="Y32">
        <f t="shared" ca="1" si="24"/>
        <v>-0.20017069548559036</v>
      </c>
      <c r="Z32">
        <f t="shared" ca="1" si="24"/>
        <v>-0.15076996982464619</v>
      </c>
      <c r="AA32">
        <f t="shared" ca="1" si="24"/>
        <v>-0.11318996741737149</v>
      </c>
      <c r="AB32">
        <f t="shared" ca="1" si="24"/>
        <v>-8.4858515355945879E-2</v>
      </c>
      <c r="AC32">
        <f t="shared" ca="1" si="24"/>
        <v>-6.3578713197960629E-2</v>
      </c>
      <c r="AD32">
        <f t="shared" ca="1" si="24"/>
        <v>-4.7620111017746387E-2</v>
      </c>
      <c r="AE32">
        <f t="shared" ca="1" si="24"/>
        <v>-3.566026540540157E-2</v>
      </c>
      <c r="AF32">
        <f t="shared" ca="1" si="24"/>
        <v>-2.6700271087139918E-2</v>
      </c>
      <c r="AG32">
        <f t="shared" ca="1" si="24"/>
        <v>-1.9989075541496364E-2</v>
      </c>
      <c r="AH32">
        <f t="shared" ca="1" si="24"/>
        <v>-1.4963039459550607E-2</v>
      </c>
      <c r="AI32">
        <f ca="1">(AH32*sa-AH$7*AH19*AH$10)/oa-AH$7*AH$10*flt2_*sa/oa^2</f>
        <v>-4.4474001293760293E-2</v>
      </c>
    </row>
    <row r="33" spans="1:35">
      <c r="A33" s="59" t="s">
        <v>130</v>
      </c>
      <c r="B33" s="60">
        <f ca="1">SUMPRODUCT(lz*wa)</f>
        <v>60.232299324663174</v>
      </c>
      <c r="C33" s="58"/>
      <c r="G33">
        <f ca="1">SUMPRODUCT(dlz3_,wa,ma)</f>
        <v>-176.49716689324333</v>
      </c>
      <c r="H33">
        <f ca="1">Ro/(reck-1)*phie/phif^2*dphif</f>
        <v>-19584.880011228182</v>
      </c>
      <c r="J33" s="8" t="s">
        <v>54</v>
      </c>
      <c r="K33">
        <v>0</v>
      </c>
      <c r="L33">
        <f t="shared" ref="L33:AH33" ca="1" si="25">K33*sa-K$7*K20*K$10</f>
        <v>-1.9356778579837211E-5</v>
      </c>
      <c r="M33">
        <f t="shared" ca="1" si="25"/>
        <v>-7.480186173278557E-5</v>
      </c>
      <c r="N33">
        <f t="shared" ca="1" si="25"/>
        <v>-2.3113614230442999E-4</v>
      </c>
      <c r="O33">
        <f t="shared" ca="1" si="25"/>
        <v>-6.713426135606655E-4</v>
      </c>
      <c r="P33">
        <f t="shared" ca="1" si="25"/>
        <v>-1.9476327577973146E-3</v>
      </c>
      <c r="Q33">
        <f t="shared" ca="1" si="25"/>
        <v>-1.2063305368105843E-2</v>
      </c>
      <c r="R33">
        <f t="shared" ca="1" si="25"/>
        <v>-0.14420524017982828</v>
      </c>
      <c r="S33">
        <f t="shared" ca="1" si="25"/>
        <v>-0.31618585005703648</v>
      </c>
      <c r="T33">
        <f t="shared" ca="1" si="25"/>
        <v>-0.4312882300394334</v>
      </c>
      <c r="U33">
        <f t="shared" ca="1" si="25"/>
        <v>-0.48337598689477412</v>
      </c>
      <c r="V33">
        <f t="shared" ca="1" si="25"/>
        <v>-0.48390285958713108</v>
      </c>
      <c r="W33">
        <f t="shared" ca="1" si="25"/>
        <v>-0.44674814793439416</v>
      </c>
      <c r="X33">
        <f t="shared" ca="1" si="25"/>
        <v>-0.38881252888194373</v>
      </c>
      <c r="Y33">
        <f t="shared" ca="1" si="25"/>
        <v>-0.32536852946168321</v>
      </c>
      <c r="Z33">
        <f t="shared" ca="1" si="25"/>
        <v>-0.26498135250917304</v>
      </c>
      <c r="AA33">
        <f t="shared" ca="1" si="25"/>
        <v>-0.21359269067071618</v>
      </c>
      <c r="AB33">
        <f t="shared" ca="1" si="25"/>
        <v>-0.17088920719463196</v>
      </c>
      <c r="AC33">
        <f t="shared" ca="1" si="25"/>
        <v>-0.13592269866833254</v>
      </c>
      <c r="AD33">
        <f t="shared" ca="1" si="25"/>
        <v>-0.10758495630498796</v>
      </c>
      <c r="AE33">
        <f t="shared" ca="1" si="25"/>
        <v>-8.47998045117066E-2</v>
      </c>
      <c r="AF33">
        <f t="shared" ca="1" si="25"/>
        <v>-6.6596246467047593E-2</v>
      </c>
      <c r="AG33">
        <f t="shared" ca="1" si="25"/>
        <v>-5.2131226877243829E-2</v>
      </c>
      <c r="AH33">
        <f t="shared" ca="1" si="25"/>
        <v>-4.0690143603388053E-2</v>
      </c>
      <c r="AI33">
        <f ca="1">(AH33*sa-AH$7*AH20*AH$10)/oa-AH$7*AH$10*flt3_*sa/oa^2</f>
        <v>-0.13911657645618694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28.622796912264612</v>
      </c>
      <c r="F35" s="37"/>
      <c r="G35" s="1">
        <f ca="1">SUM(dqa11_)</f>
        <v>880.14341827301291</v>
      </c>
      <c r="H35" s="1">
        <f ca="1">SUM(dqa12_)</f>
        <v>887.78873062825903</v>
      </c>
      <c r="I35" s="11">
        <f ca="1">SUM(dqa13_)</f>
        <v>882.18215538937557</v>
      </c>
      <c r="J35" s="8" t="s">
        <v>62</v>
      </c>
      <c r="K35">
        <f ca="1">flt1_*qa1_+lz*wa*flt1_^2/za*(sa-oa/za)</f>
        <v>2.6176427267571172E-13</v>
      </c>
      <c r="L35">
        <f t="shared" ref="L35:AI35" ca="1" si="26">flt1_*qa1_+lz*wa*flt1_^2/za*(sa-oa/za)</f>
        <v>1.2824789729066714E-11</v>
      </c>
      <c r="M35">
        <f t="shared" ca="1" si="26"/>
        <v>2.7789945493150396E-10</v>
      </c>
      <c r="N35">
        <f t="shared" ca="1" si="26"/>
        <v>4.3194286092939464E-9</v>
      </c>
      <c r="O35">
        <f t="shared" ca="1" si="26"/>
        <v>5.6059696887619063E-8</v>
      </c>
      <c r="P35">
        <f t="shared" ca="1" si="26"/>
        <v>1.2064296851147529E-6</v>
      </c>
      <c r="Q35">
        <f t="shared" ca="1" si="26"/>
        <v>1.5306075963592559E-4</v>
      </c>
      <c r="R35">
        <f t="shared" ca="1" si="26"/>
        <v>2.1008067866190526E-3</v>
      </c>
      <c r="S35">
        <f t="shared" ca="1" si="26"/>
        <v>1.8035323446651041E-2</v>
      </c>
      <c r="T35">
        <f t="shared" ca="1" si="26"/>
        <v>0.13779117321429127</v>
      </c>
      <c r="U35">
        <f t="shared" ca="1" si="26"/>
        <v>0.88754643266367572</v>
      </c>
      <c r="V35">
        <f t="shared" ca="1" si="26"/>
        <v>4.2602041916726199</v>
      </c>
      <c r="W35">
        <f t="shared" ca="1" si="26"/>
        <v>13.404446655320015</v>
      </c>
      <c r="X35">
        <f t="shared" ca="1" si="26"/>
        <v>27.337753720879512</v>
      </c>
      <c r="Y35">
        <f t="shared" ca="1" si="26"/>
        <v>40.864503183437584</v>
      </c>
      <c r="Z35">
        <f t="shared" ca="1" si="26"/>
        <v>51.441666517155888</v>
      </c>
      <c r="AA35">
        <f t="shared" ca="1" si="26"/>
        <v>59.633663077397188</v>
      </c>
      <c r="AB35">
        <f t="shared" ca="1" si="26"/>
        <v>66.44133724341404</v>
      </c>
      <c r="AC35">
        <f t="shared" ca="1" si="26"/>
        <v>72.499106391129118</v>
      </c>
      <c r="AD35">
        <f t="shared" ca="1" si="26"/>
        <v>78.116827559916331</v>
      </c>
      <c r="AE35">
        <f t="shared" ca="1" si="26"/>
        <v>83.429291537570109</v>
      </c>
      <c r="AF35">
        <f t="shared" ca="1" si="26"/>
        <v>88.490687842737358</v>
      </c>
      <c r="AG35">
        <f t="shared" ca="1" si="26"/>
        <v>93.321180353795398</v>
      </c>
      <c r="AH35">
        <f t="shared" ca="1" si="26"/>
        <v>97.927825366784646</v>
      </c>
      <c r="AI35">
        <f t="shared" ca="1" si="26"/>
        <v>101.92929656783259</v>
      </c>
    </row>
    <row r="36" spans="1:35">
      <c r="A36" t="s">
        <v>33</v>
      </c>
      <c r="B36" s="1">
        <f ca="1">SUMPRODUCT(lz,ta1_)</f>
        <v>0.35662604040644003</v>
      </c>
      <c r="C36" s="29">
        <f ca="1">B11/(phi_t1/SUM(B$36:B$38))</f>
        <v>2.2460650834921125</v>
      </c>
      <c r="E36" s="38">
        <f ca="1">C36/AVERAGE(C$36:C$38)</f>
        <v>1.7661598634610063</v>
      </c>
      <c r="G36" s="1">
        <f ca="1">SUM(dqa21_)</f>
        <v>887.78873062825903</v>
      </c>
      <c r="H36" s="1">
        <f ca="1">SUM(dqa22_)</f>
        <v>10.763591503257533</v>
      </c>
      <c r="I36" s="11">
        <f ca="1">SUM(dqa23_)</f>
        <v>886.10600826902066</v>
      </c>
      <c r="J36" s="8" t="s">
        <v>63</v>
      </c>
      <c r="K36">
        <f t="shared" ref="K36:AI36" ca="1" si="27">flt2_*qa2_+lz*wa*flt2_^2/za*(sa-oa/za)</f>
        <v>3.0998784379819553E-6</v>
      </c>
      <c r="L36">
        <f t="shared" ca="1" si="27"/>
        <v>2.655800309806148E-3</v>
      </c>
      <c r="M36">
        <f t="shared" ca="1" si="27"/>
        <v>0.28380744253085344</v>
      </c>
      <c r="N36">
        <f t="shared" ca="1" si="27"/>
        <v>1.1942292412153137</v>
      </c>
      <c r="O36">
        <f t="shared" ca="1" si="27"/>
        <v>1.4936344775331027</v>
      </c>
      <c r="P36">
        <f t="shared" ca="1" si="27"/>
        <v>1.465787768255814</v>
      </c>
      <c r="Q36">
        <f t="shared" ca="1" si="27"/>
        <v>1.2859796287355314</v>
      </c>
      <c r="R36">
        <f t="shared" ca="1" si="27"/>
        <v>1.0503031390651447</v>
      </c>
      <c r="S36">
        <f t="shared" ca="1" si="27"/>
        <v>0.81501491975872509</v>
      </c>
      <c r="T36">
        <f t="shared" ca="1" si="27"/>
        <v>0.60541861532847185</v>
      </c>
      <c r="U36">
        <f t="shared" ca="1" si="27"/>
        <v>0.43313969880422337</v>
      </c>
      <c r="V36">
        <f t="shared" ca="1" si="27"/>
        <v>0.29993643404790865</v>
      </c>
      <c r="W36">
        <f t="shared" ca="1" si="27"/>
        <v>0.20239482151295443</v>
      </c>
      <c r="X36">
        <f t="shared" ca="1" si="27"/>
        <v>0.13426866295338177</v>
      </c>
      <c r="Y36">
        <f t="shared" ca="1" si="27"/>
        <v>8.8035912848557399E-2</v>
      </c>
      <c r="Z36">
        <f t="shared" ca="1" si="27"/>
        <v>9.8163442856556801E-2</v>
      </c>
      <c r="AA36">
        <f t="shared" ca="1" si="27"/>
        <v>0.108317996585941</v>
      </c>
      <c r="AB36">
        <f t="shared" ca="1" si="27"/>
        <v>0.11834667335016236</v>
      </c>
      <c r="AC36">
        <f t="shared" ca="1" si="27"/>
        <v>0.12815129604128961</v>
      </c>
      <c r="AD36">
        <f t="shared" ca="1" si="27"/>
        <v>0.13767009370678859</v>
      </c>
      <c r="AE36">
        <f t="shared" ca="1" si="27"/>
        <v>0.14686326907532379</v>
      </c>
      <c r="AF36">
        <f t="shared" ca="1" si="27"/>
        <v>0.15570484816184035</v>
      </c>
      <c r="AG36">
        <f t="shared" ca="1" si="27"/>
        <v>0.16417829185440957</v>
      </c>
      <c r="AH36">
        <f t="shared" ca="1" si="27"/>
        <v>0.17227400265080395</v>
      </c>
      <c r="AI36">
        <f t="shared" ca="1" si="27"/>
        <v>0.1793119261961936</v>
      </c>
    </row>
    <row r="37" spans="1:35">
      <c r="A37" t="s">
        <v>34</v>
      </c>
      <c r="B37" s="1">
        <f ca="1">SUMPRODUCT(lz,ta2_)</f>
        <v>1.6168160190939054</v>
      </c>
      <c r="C37" s="29">
        <f ca="1">B12/(phi_t2/SUM(B$36:B$38))</f>
        <v>1.0610574558229351</v>
      </c>
      <c r="E37" s="38">
        <f ca="1">C37/AVERAGE(C$36:C$38)</f>
        <v>0.83434674492463279</v>
      </c>
      <c r="G37" s="1">
        <f ca="1">SUM(dqa31_)</f>
        <v>882.18215538937557</v>
      </c>
      <c r="H37" s="1">
        <f ca="1">SUM(dqa32_)</f>
        <v>886.10600826902066</v>
      </c>
      <c r="I37" s="1">
        <f ca="1">SUM(dqa33_)</f>
        <v>390.58824150045871</v>
      </c>
      <c r="J37" s="8" t="s">
        <v>64</v>
      </c>
      <c r="K37">
        <f t="shared" ref="K37:AI37" ca="1" si="28">flt3_*qa3_+lz*wa*flt3_^2/za*(sa-oa/za)</f>
        <v>1.6914022558662643E-11</v>
      </c>
      <c r="L37">
        <f t="shared" ca="1" si="28"/>
        <v>1.6153286871085726E-9</v>
      </c>
      <c r="M37">
        <f t="shared" ca="1" si="28"/>
        <v>6.7922076943514383E-8</v>
      </c>
      <c r="N37">
        <f t="shared" ca="1" si="28"/>
        <v>2.013935456426696E-6</v>
      </c>
      <c r="O37">
        <f t="shared" ca="1" si="28"/>
        <v>4.9701704123203378E-5</v>
      </c>
      <c r="P37">
        <f t="shared" ca="1" si="28"/>
        <v>6.9606334209125209E-3</v>
      </c>
      <c r="Q37">
        <f t="shared" ca="1" si="28"/>
        <v>2.5768137477871558</v>
      </c>
      <c r="R37">
        <f t="shared" ca="1" si="28"/>
        <v>11.779441416616864</v>
      </c>
      <c r="S37">
        <f t="shared" ca="1" si="28"/>
        <v>17.697032532617477</v>
      </c>
      <c r="T37">
        <f t="shared" ca="1" si="28"/>
        <v>19.943042952421354</v>
      </c>
      <c r="U37">
        <f t="shared" ca="1" si="28"/>
        <v>20.27683562473154</v>
      </c>
      <c r="V37">
        <f t="shared" ca="1" si="28"/>
        <v>19.622000616700337</v>
      </c>
      <c r="W37">
        <f t="shared" ca="1" si="28"/>
        <v>18.425260757918078</v>
      </c>
      <c r="X37">
        <f t="shared" ca="1" si="28"/>
        <v>16.991299092639235</v>
      </c>
      <c r="Y37">
        <f t="shared" ca="1" si="28"/>
        <v>15.482228525480597</v>
      </c>
      <c r="Z37">
        <f t="shared" ca="1" si="28"/>
        <v>17.263282744254205</v>
      </c>
      <c r="AA37">
        <f t="shared" ca="1" si="28"/>
        <v>19.049089426159629</v>
      </c>
      <c r="AB37">
        <f t="shared" ca="1" si="28"/>
        <v>20.812759051974119</v>
      </c>
      <c r="AC37">
        <f t="shared" ca="1" si="28"/>
        <v>22.537025935777233</v>
      </c>
      <c r="AD37">
        <f t="shared" ca="1" si="28"/>
        <v>24.211026874446222</v>
      </c>
      <c r="AE37">
        <f t="shared" ca="1" si="28"/>
        <v>25.827763014563541</v>
      </c>
      <c r="AF37">
        <f t="shared" ca="1" si="28"/>
        <v>27.382666502405346</v>
      </c>
      <c r="AG37">
        <f t="shared" ca="1" si="28"/>
        <v>28.872828725994978</v>
      </c>
      <c r="AH37">
        <f t="shared" ca="1" si="28"/>
        <v>30.296561843201268</v>
      </c>
      <c r="AI37">
        <f t="shared" ca="1" si="28"/>
        <v>31.534269696154698</v>
      </c>
    </row>
    <row r="38" spans="1:35">
      <c r="A38" t="s">
        <v>35</v>
      </c>
      <c r="B38" s="1">
        <f ca="1">SUMPRODUCT(lz,ta3_)</f>
        <v>1.1039578788527817</v>
      </c>
      <c r="C38" s="29">
        <f ca="1">B13/(phi_t3/SUM(B$36:B$38))</f>
        <v>0.50804470000383295</v>
      </c>
      <c r="E38" s="38">
        <f ca="1">C38/AVERAGE(C$36:C$38)</f>
        <v>0.39949339161436126</v>
      </c>
      <c r="G38" t="s">
        <v>69</v>
      </c>
      <c r="J38" s="8" t="s">
        <v>60</v>
      </c>
      <c r="K38">
        <f t="shared" ref="K38:AI38" ca="1" si="29">flt1_*qa1_+lz*wa*flt2_*flt1_/za*(sa-oa/za)</f>
        <v>-8.5609269120301889E-10</v>
      </c>
      <c r="L38">
        <f t="shared" ca="1" si="29"/>
        <v>-1.3278781824524781E-7</v>
      </c>
      <c r="M38">
        <f t="shared" ca="1" si="29"/>
        <v>-4.85899065877079E-6</v>
      </c>
      <c r="N38">
        <f t="shared" ca="1" si="29"/>
        <v>-2.8817363876111275E-5</v>
      </c>
      <c r="O38">
        <f t="shared" ca="1" si="29"/>
        <v>-8.5788799501686086E-5</v>
      </c>
      <c r="P38">
        <f t="shared" ca="1" si="29"/>
        <v>-3.0152899285779366E-4</v>
      </c>
      <c r="Q38">
        <f t="shared" ca="1" si="29"/>
        <v>-2.3381476999554144E-3</v>
      </c>
      <c r="R38">
        <f t="shared" ca="1" si="29"/>
        <v>-4.2900454386786344E-3</v>
      </c>
      <c r="S38">
        <f t="shared" ca="1" si="29"/>
        <v>6.3210566218423105E-3</v>
      </c>
      <c r="T38">
        <f t="shared" ca="1" si="29"/>
        <v>0.12402473059863697</v>
      </c>
      <c r="U38">
        <f t="shared" ca="1" si="29"/>
        <v>0.90718374744340724</v>
      </c>
      <c r="V38">
        <f t="shared" ca="1" si="29"/>
        <v>4.4439785259498263</v>
      </c>
      <c r="W38">
        <f t="shared" ca="1" si="29"/>
        <v>13.946626069016947</v>
      </c>
      <c r="X38">
        <f t="shared" ca="1" si="29"/>
        <v>28.236370164526527</v>
      </c>
      <c r="Y38">
        <f t="shared" ca="1" si="29"/>
        <v>41.900180263918685</v>
      </c>
      <c r="Z38">
        <f t="shared" ca="1" si="29"/>
        <v>52.41484867942642</v>
      </c>
      <c r="AA38">
        <f t="shared" ca="1" si="29"/>
        <v>60.469993533259775</v>
      </c>
      <c r="AB38">
        <f t="shared" ca="1" si="29"/>
        <v>67.130551592038614</v>
      </c>
      <c r="AC38">
        <f t="shared" ca="1" si="29"/>
        <v>73.055122775253736</v>
      </c>
      <c r="AD38">
        <f t="shared" ca="1" si="29"/>
        <v>78.559836947957095</v>
      </c>
      <c r="AE38">
        <f t="shared" ca="1" si="29"/>
        <v>83.779269136524249</v>
      </c>
      <c r="AF38">
        <f t="shared" ca="1" si="29"/>
        <v>88.765356683600956</v>
      </c>
      <c r="AG38">
        <f t="shared" ca="1" si="29"/>
        <v>93.535566337607349</v>
      </c>
      <c r="AH38">
        <f t="shared" ca="1" si="29"/>
        <v>98.094364490917087</v>
      </c>
      <c r="AI38">
        <f t="shared" ca="1" si="29"/>
        <v>102.42618521452737</v>
      </c>
    </row>
    <row r="39" spans="1:35">
      <c r="A39" s="1" t="s">
        <v>36</v>
      </c>
      <c r="B39" s="1">
        <f ca="1">SUMPRODUCT(lz,qa1_)</f>
        <v>21.170564511826239</v>
      </c>
      <c r="C39" s="23">
        <f ca="1">B4/(phi_q1/SUM(B$39:B$41))</f>
        <v>1.8500191350793809</v>
      </c>
      <c r="D39" s="21"/>
      <c r="E39" s="39">
        <f ca="1">C39/AVERAGE(C$39:C$41)</f>
        <v>1.562413611550878</v>
      </c>
      <c r="G39" s="110">
        <f ca="1">re*phi_q1+f1_*phi_q1*$H31+f1_*re*G35</f>
        <v>1060775.1305784411</v>
      </c>
      <c r="H39" s="110">
        <f ca="1">re*phi_q1+f1_*phi_q1*$H32+f1_*re*H35</f>
        <v>1064692.9234731521</v>
      </c>
      <c r="I39" s="110">
        <f ca="1">re*phi_q1+f1_*phi_q1*$H33+f1_*re*I35</f>
        <v>1036917.3274349731</v>
      </c>
      <c r="J39" s="8" t="s">
        <v>66</v>
      </c>
      <c r="K39">
        <f t="shared" ref="K39:AI39" ca="1" si="30">flt1_*qa1_+lz*wa*flt3_*flt1_/za*(sa-oa/za)</f>
        <v>-1.4902395255348539E-12</v>
      </c>
      <c r="L39">
        <f t="shared" ca="1" si="30"/>
        <v>-8.1523090043187313E-11</v>
      </c>
      <c r="M39">
        <f t="shared" ca="1" si="30"/>
        <v>-1.947307683959135E-9</v>
      </c>
      <c r="N39">
        <f t="shared" ca="1" si="30"/>
        <v>-3.1377500475913698E-8</v>
      </c>
      <c r="O39">
        <f t="shared" ca="1" si="30"/>
        <v>-4.2259879728741137E-7</v>
      </c>
      <c r="P39">
        <f t="shared" ca="1" si="30"/>
        <v>-1.9399429322039767E-5</v>
      </c>
      <c r="Q39">
        <f t="shared" ca="1" si="30"/>
        <v>-3.3847818521538504E-3</v>
      </c>
      <c r="R39">
        <f t="shared" ca="1" si="30"/>
        <v>-2.0004461642781166E-2</v>
      </c>
      <c r="S39">
        <f t="shared" ca="1" si="30"/>
        <v>-4.4042852979733552E-2</v>
      </c>
      <c r="T39">
        <f t="shared" ca="1" si="30"/>
        <v>-7.4343644649024765E-4</v>
      </c>
      <c r="U39">
        <f t="shared" ca="1" si="30"/>
        <v>0.64129562945008711</v>
      </c>
      <c r="V39">
        <f t="shared" ca="1" si="30"/>
        <v>3.9735014068621988</v>
      </c>
      <c r="W39">
        <f t="shared" ca="1" si="30"/>
        <v>13.297869263125092</v>
      </c>
      <c r="X39">
        <f t="shared" ca="1" si="30"/>
        <v>27.542256978496994</v>
      </c>
      <c r="Y39">
        <f t="shared" ca="1" si="30"/>
        <v>41.282079926083696</v>
      </c>
      <c r="Z39">
        <f t="shared" ca="1" si="30"/>
        <v>51.869785128142595</v>
      </c>
      <c r="AA39">
        <f t="shared" ca="1" si="30"/>
        <v>60.01349960135952</v>
      </c>
      <c r="AB39">
        <f t="shared" ca="1" si="30"/>
        <v>66.758179055137504</v>
      </c>
      <c r="AC39">
        <f t="shared" ca="1" si="30"/>
        <v>72.755914162925734</v>
      </c>
      <c r="AD39">
        <f t="shared" ca="1" si="30"/>
        <v>78.321811518102137</v>
      </c>
      <c r="AE39">
        <f t="shared" ca="1" si="30"/>
        <v>83.591341986179046</v>
      </c>
      <c r="AF39">
        <f t="shared" ca="1" si="30"/>
        <v>88.617901691982794</v>
      </c>
      <c r="AG39">
        <f t="shared" ca="1" si="30"/>
        <v>93.420483533997754</v>
      </c>
      <c r="AH39">
        <f t="shared" ca="1" si="30"/>
        <v>98.004968322606601</v>
      </c>
      <c r="AI39">
        <f t="shared" ca="1" si="30"/>
        <v>102.15946257328102</v>
      </c>
    </row>
    <row r="40" spans="1:35">
      <c r="A40" s="1" t="s">
        <v>37</v>
      </c>
      <c r="B40" s="1">
        <f ca="1">SUMPRODUCT(lz,qa2_)</f>
        <v>10.694662659736496</v>
      </c>
      <c r="C40" s="23">
        <f ca="1">B5/(phi_q2/SUM(B$39:B$41))</f>
        <v>1.3657907094432065</v>
      </c>
      <c r="D40" s="21"/>
      <c r="E40" s="39">
        <f ca="1">C40/AVERAGE(C$39:C$41)</f>
        <v>1.1534637423478507</v>
      </c>
      <c r="G40" s="110">
        <f ca="1">re*phi_q1+f1_*phi_q1*$H32+f1_*re*G36</f>
        <v>1064692.9234731521</v>
      </c>
      <c r="H40" s="110">
        <f ca="1">re*phi_q2+f2_*phi_q2*$H32+f2_*re*H36</f>
        <v>80522.13754420777</v>
      </c>
      <c r="I40" s="110">
        <f ca="1">re*phi_q3+f3_*phi_q3*$H33+f3_*re*I36</f>
        <v>414230.27899245778</v>
      </c>
      <c r="J40" s="8" t="s">
        <v>65</v>
      </c>
      <c r="K40">
        <f t="shared" ref="K40:AI40" ca="1" si="31">flt1_*qa1_+lz*wa*flt1_*flt2_/za*(sa-oa/za)</f>
        <v>-8.5609269120301868E-10</v>
      </c>
      <c r="L40">
        <f t="shared" ca="1" si="31"/>
        <v>-1.3278781824524781E-7</v>
      </c>
      <c r="M40">
        <f t="shared" ca="1" si="31"/>
        <v>-4.85899065877079E-6</v>
      </c>
      <c r="N40">
        <f t="shared" ca="1" si="31"/>
        <v>-2.8817363876111275E-5</v>
      </c>
      <c r="O40">
        <f t="shared" ca="1" si="31"/>
        <v>-8.5788799501686073E-5</v>
      </c>
      <c r="P40">
        <f t="shared" ca="1" si="31"/>
        <v>-3.0152899285779366E-4</v>
      </c>
      <c r="Q40">
        <f t="shared" ca="1" si="31"/>
        <v>-2.3381476999554149E-3</v>
      </c>
      <c r="R40">
        <f t="shared" ca="1" si="31"/>
        <v>-4.2900454386786344E-3</v>
      </c>
      <c r="S40">
        <f t="shared" ca="1" si="31"/>
        <v>6.3210566218423105E-3</v>
      </c>
      <c r="T40">
        <f t="shared" ca="1" si="31"/>
        <v>0.12402473059863697</v>
      </c>
      <c r="U40">
        <f t="shared" ca="1" si="31"/>
        <v>0.90718374744340724</v>
      </c>
      <c r="V40">
        <f t="shared" ca="1" si="31"/>
        <v>4.4439785259498263</v>
      </c>
      <c r="W40">
        <f t="shared" ca="1" si="31"/>
        <v>13.946626069016947</v>
      </c>
      <c r="X40">
        <f t="shared" ca="1" si="31"/>
        <v>28.236370164526527</v>
      </c>
      <c r="Y40">
        <f t="shared" ca="1" si="31"/>
        <v>41.900180263918685</v>
      </c>
      <c r="Z40">
        <f t="shared" ca="1" si="31"/>
        <v>52.41484867942642</v>
      </c>
      <c r="AA40">
        <f t="shared" ca="1" si="31"/>
        <v>60.469993533259775</v>
      </c>
      <c r="AB40">
        <f t="shared" ca="1" si="31"/>
        <v>67.130551592038614</v>
      </c>
      <c r="AC40">
        <f t="shared" ca="1" si="31"/>
        <v>73.055122775253736</v>
      </c>
      <c r="AD40">
        <f t="shared" ca="1" si="31"/>
        <v>78.559836947957095</v>
      </c>
      <c r="AE40">
        <f t="shared" ca="1" si="31"/>
        <v>83.779269136524249</v>
      </c>
      <c r="AF40">
        <f t="shared" ca="1" si="31"/>
        <v>88.765356683600956</v>
      </c>
      <c r="AG40">
        <f t="shared" ca="1" si="31"/>
        <v>93.535566337607349</v>
      </c>
      <c r="AH40">
        <f t="shared" ca="1" si="31"/>
        <v>98.094364490917087</v>
      </c>
      <c r="AI40">
        <f t="shared" ca="1" si="31"/>
        <v>102.42618521452737</v>
      </c>
    </row>
    <row r="41" spans="1:35">
      <c r="A41" s="1" t="s">
        <v>38</v>
      </c>
      <c r="B41" s="1">
        <f ca="1">SUMPRODUCT(lz,qa3_)</f>
        <v>33.014108152234925</v>
      </c>
      <c r="C41" s="23">
        <f ca="1">B6/(phi_q3/SUM(B$39:B$41))</f>
        <v>0.33642329285328448</v>
      </c>
      <c r="D41" s="21"/>
      <c r="E41" s="39">
        <f ca="1">C41/AVERAGE(C$39:C$41)</f>
        <v>0.2841226461012713</v>
      </c>
      <c r="G41" s="110">
        <f ca="1">re*phi_q1+f1_*phi_q1*$H33+f1_*re*G37</f>
        <v>1036917.3274349731</v>
      </c>
      <c r="H41" s="110">
        <f ca="1">re*phi_q3+f3_*phi_q3*$H33+f3_*re*H37</f>
        <v>414230.27899245801</v>
      </c>
      <c r="I41" s="110">
        <f ca="1">re*phi_q3+f1_*phi_q3*$H33+f3_*re*I37</f>
        <v>249648.62895237128</v>
      </c>
      <c r="J41" s="8" t="s">
        <v>67</v>
      </c>
      <c r="K41">
        <f t="shared" ref="K41:AI41" ca="1" si="32">flt1_*qa1_+lz*wa*flt3_*flt2_/za*(sa-oa/za)</f>
        <v>-6.8851885586726287E-9</v>
      </c>
      <c r="L41">
        <f t="shared" ca="1" si="32"/>
        <v>-1.4904906597161855E-6</v>
      </c>
      <c r="M41">
        <f t="shared" ca="1" si="32"/>
        <v>-7.5970269213994704E-5</v>
      </c>
      <c r="N41">
        <f t="shared" ca="1" si="32"/>
        <v>-6.2237316877263363E-4</v>
      </c>
      <c r="O41">
        <f t="shared" ca="1" si="32"/>
        <v>-2.5565032911925769E-3</v>
      </c>
      <c r="P41">
        <f t="shared" ca="1" si="32"/>
        <v>-2.3014568856117017E-2</v>
      </c>
      <c r="Q41">
        <f t="shared" ca="1" si="32"/>
        <v>-0.32662072858867552</v>
      </c>
      <c r="R41">
        <f t="shared" ca="1" si="32"/>
        <v>-0.49855528522206566</v>
      </c>
      <c r="S41">
        <f t="shared" ca="1" si="32"/>
        <v>-0.41098987625705785</v>
      </c>
      <c r="T41">
        <f t="shared" ca="1" si="32"/>
        <v>-0.16636113377880735</v>
      </c>
      <c r="U41">
        <f t="shared" ca="1" si="32"/>
        <v>0.73515694796605446</v>
      </c>
      <c r="V41">
        <f t="shared" ca="1" si="32"/>
        <v>4.3679053906760359</v>
      </c>
      <c r="W41">
        <f t="shared" ca="1" si="32"/>
        <v>13.933530018481157</v>
      </c>
      <c r="X41">
        <f t="shared" ca="1" si="32"/>
        <v>28.250702143066576</v>
      </c>
      <c r="Y41">
        <f t="shared" ca="1" si="32"/>
        <v>41.91956202012399</v>
      </c>
      <c r="Z41">
        <f t="shared" ca="1" si="32"/>
        <v>52.433550396554487</v>
      </c>
      <c r="AA41">
        <f t="shared" ca="1" si="32"/>
        <v>60.486181834921226</v>
      </c>
      <c r="AB41">
        <f t="shared" ca="1" si="32"/>
        <v>67.143923744912414</v>
      </c>
      <c r="AC41">
        <f t="shared" ca="1" si="32"/>
        <v>73.065919781118126</v>
      </c>
      <c r="AD41">
        <f t="shared" ca="1" si="32"/>
        <v>78.568442274999455</v>
      </c>
      <c r="AE41">
        <f t="shared" ca="1" si="32"/>
        <v>83.786068175884353</v>
      </c>
      <c r="AF41">
        <f t="shared" ca="1" si="32"/>
        <v>88.770692939844537</v>
      </c>
      <c r="AG41">
        <f t="shared" ca="1" si="32"/>
        <v>93.539731490154324</v>
      </c>
      <c r="AH41">
        <f t="shared" ca="1" si="32"/>
        <v>98.097600077994926</v>
      </c>
      <c r="AI41">
        <f t="shared" ca="1" si="32"/>
        <v>102.43583896913076</v>
      </c>
    </row>
    <row r="42" spans="1:35">
      <c r="A42" s="1" t="s">
        <v>96</v>
      </c>
      <c r="B42" s="1">
        <f ca="1">SUMPRODUCT(lz/SUM(lz),len,ta1_)</f>
        <v>8.6010758217787355</v>
      </c>
      <c r="J42" s="8" t="s">
        <v>68</v>
      </c>
      <c r="K42">
        <f t="shared" ref="K42:AI42" ca="1" si="33">flt1_*qa1_+lz*wa*flt1_*flt3_/za*(sa-oa/za)</f>
        <v>-1.4902395255348539E-12</v>
      </c>
      <c r="L42">
        <f t="shared" ca="1" si="33"/>
        <v>-8.1523090043187326E-11</v>
      </c>
      <c r="M42">
        <f t="shared" ca="1" si="33"/>
        <v>-1.9473076839591354E-9</v>
      </c>
      <c r="N42">
        <f t="shared" ca="1" si="33"/>
        <v>-3.1377500475913698E-8</v>
      </c>
      <c r="O42">
        <f t="shared" ca="1" si="33"/>
        <v>-4.2259879728741137E-7</v>
      </c>
      <c r="P42">
        <f t="shared" ca="1" si="33"/>
        <v>-1.9399429322039767E-5</v>
      </c>
      <c r="Q42">
        <f t="shared" ca="1" si="33"/>
        <v>-3.3847818521538496E-3</v>
      </c>
      <c r="R42">
        <f t="shared" ca="1" si="33"/>
        <v>-2.0004461642781173E-2</v>
      </c>
      <c r="S42">
        <f t="shared" ca="1" si="33"/>
        <v>-4.4042852979733552E-2</v>
      </c>
      <c r="T42">
        <f t="shared" ca="1" si="33"/>
        <v>-7.4343644649024765E-4</v>
      </c>
      <c r="U42">
        <f t="shared" ca="1" si="33"/>
        <v>0.64129562945008711</v>
      </c>
      <c r="V42">
        <f t="shared" ca="1" si="33"/>
        <v>3.9735014068621988</v>
      </c>
      <c r="W42">
        <f t="shared" ca="1" si="33"/>
        <v>13.297869263125092</v>
      </c>
      <c r="X42">
        <f t="shared" ca="1" si="33"/>
        <v>27.542256978496994</v>
      </c>
      <c r="Y42">
        <f t="shared" ca="1" si="33"/>
        <v>41.282079926083696</v>
      </c>
      <c r="Z42">
        <f t="shared" ca="1" si="33"/>
        <v>51.869785128142595</v>
      </c>
      <c r="AA42">
        <f t="shared" ca="1" si="33"/>
        <v>60.01349960135952</v>
      </c>
      <c r="AB42">
        <f t="shared" ca="1" si="33"/>
        <v>66.758179055137504</v>
      </c>
      <c r="AC42">
        <f t="shared" ca="1" si="33"/>
        <v>72.755914162925734</v>
      </c>
      <c r="AD42">
        <f t="shared" ca="1" si="33"/>
        <v>78.321811518102137</v>
      </c>
      <c r="AE42">
        <f t="shared" ca="1" si="33"/>
        <v>83.591341986179046</v>
      </c>
      <c r="AF42">
        <f t="shared" ca="1" si="33"/>
        <v>88.617901691982794</v>
      </c>
      <c r="AG42">
        <f t="shared" ca="1" si="33"/>
        <v>93.420483533997754</v>
      </c>
      <c r="AH42">
        <f t="shared" ca="1" si="33"/>
        <v>98.004968322606601</v>
      </c>
      <c r="AI42">
        <f t="shared" ca="1" si="33"/>
        <v>102.15946257328102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-6.8851885586726287E-9</v>
      </c>
      <c r="L43">
        <f t="shared" ca="1" si="34"/>
        <v>-1.4904906597161855E-6</v>
      </c>
      <c r="M43">
        <f t="shared" ca="1" si="34"/>
        <v>-7.5970269213994704E-5</v>
      </c>
      <c r="N43">
        <f t="shared" ca="1" si="34"/>
        <v>-6.2237316877263363E-4</v>
      </c>
      <c r="O43">
        <f t="shared" ca="1" si="34"/>
        <v>-2.5565032911925769E-3</v>
      </c>
      <c r="P43">
        <f t="shared" ca="1" si="34"/>
        <v>-2.3014568856117017E-2</v>
      </c>
      <c r="Q43">
        <f t="shared" ca="1" si="34"/>
        <v>-0.32662072858867547</v>
      </c>
      <c r="R43">
        <f t="shared" ca="1" si="34"/>
        <v>-0.49855528522206566</v>
      </c>
      <c r="S43">
        <f t="shared" ca="1" si="34"/>
        <v>-0.41098987625705796</v>
      </c>
      <c r="T43">
        <f t="shared" ca="1" si="34"/>
        <v>-0.16636113377880735</v>
      </c>
      <c r="U43">
        <f t="shared" ca="1" si="34"/>
        <v>0.73515694796605446</v>
      </c>
      <c r="V43">
        <f t="shared" ca="1" si="34"/>
        <v>4.3679053906760359</v>
      </c>
      <c r="W43">
        <f t="shared" ca="1" si="34"/>
        <v>13.933530018481157</v>
      </c>
      <c r="X43">
        <f t="shared" ca="1" si="34"/>
        <v>28.250702143066576</v>
      </c>
      <c r="Y43">
        <f t="shared" ca="1" si="34"/>
        <v>41.91956202012399</v>
      </c>
      <c r="Z43">
        <f t="shared" ca="1" si="34"/>
        <v>52.433550396554487</v>
      </c>
      <c r="AA43">
        <f t="shared" ca="1" si="34"/>
        <v>60.486181834921226</v>
      </c>
      <c r="AB43">
        <f t="shared" ca="1" si="34"/>
        <v>67.143923744912414</v>
      </c>
      <c r="AC43">
        <f t="shared" ca="1" si="34"/>
        <v>73.065919781118126</v>
      </c>
      <c r="AD43">
        <f t="shared" ca="1" si="34"/>
        <v>78.568442274999455</v>
      </c>
      <c r="AE43">
        <f t="shared" ca="1" si="34"/>
        <v>83.786068175884353</v>
      </c>
      <c r="AF43">
        <f t="shared" ca="1" si="34"/>
        <v>88.770692939844537</v>
      </c>
      <c r="AG43">
        <f t="shared" ca="1" si="34"/>
        <v>93.539731490154324</v>
      </c>
      <c r="AH43">
        <f t="shared" ca="1" si="34"/>
        <v>98.097600077994926</v>
      </c>
      <c r="AI43">
        <f t="shared" ca="1" si="34"/>
        <v>102.43583896913076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0.29071427129892174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1.8236218590314333E-7</v>
      </c>
      <c r="L46">
        <f t="shared" ca="1" si="35"/>
        <v>2.6395960695511547E-6</v>
      </c>
      <c r="M46">
        <f t="shared" ca="1" si="35"/>
        <v>1.7091676189449133E-5</v>
      </c>
      <c r="N46">
        <f t="shared" ca="1" si="35"/>
        <v>7.6203695135339104E-5</v>
      </c>
      <c r="O46">
        <f t="shared" ca="1" si="35"/>
        <v>2.821236999669175E-4</v>
      </c>
      <c r="P46">
        <f t="shared" ca="1" si="35"/>
        <v>1.2989924555883714E-3</v>
      </c>
      <c r="Q46">
        <f t="shared" ca="1" si="35"/>
        <v>1.4163702534517842E-2</v>
      </c>
      <c r="R46">
        <f t="shared" ca="1" si="35"/>
        <v>4.9374488020368923E-2</v>
      </c>
      <c r="S46">
        <f t="shared" ca="1" si="35"/>
        <v>0.13317367654308787</v>
      </c>
      <c r="T46">
        <f t="shared" ca="1" si="35"/>
        <v>0.33418527716308755</v>
      </c>
      <c r="U46">
        <f t="shared" ca="1" si="35"/>
        <v>0.75888352716143903</v>
      </c>
      <c r="V46">
        <f t="shared" ca="1" si="35"/>
        <v>1.4565526027192683</v>
      </c>
      <c r="W46">
        <f t="shared" ca="1" si="35"/>
        <v>2.1966368626998909</v>
      </c>
      <c r="X46">
        <f t="shared" ca="1" si="35"/>
        <v>2.5795120151398288</v>
      </c>
      <c r="Y46">
        <f t="shared" ca="1" si="35"/>
        <v>2.5245234213541092</v>
      </c>
      <c r="Z46">
        <f t="shared" ca="1" si="35"/>
        <v>2.2291282016476637</v>
      </c>
      <c r="AA46">
        <f t="shared" ca="1" si="35"/>
        <v>1.8679443569703726</v>
      </c>
      <c r="AB46">
        <f t="shared" ca="1" si="35"/>
        <v>1.5240660205351602</v>
      </c>
      <c r="AC46">
        <f t="shared" ca="1" si="35"/>
        <v>1.2247250009915236</v>
      </c>
      <c r="AD46">
        <f t="shared" ca="1" si="35"/>
        <v>0.97432270767332896</v>
      </c>
      <c r="AE46">
        <f t="shared" ca="1" si="35"/>
        <v>0.76926289417832383</v>
      </c>
      <c r="AF46">
        <f t="shared" ca="1" si="35"/>
        <v>0.60359680906404078</v>
      </c>
      <c r="AG46">
        <f t="shared" ca="1" si="35"/>
        <v>0.47108436377656665</v>
      </c>
      <c r="AH46">
        <f t="shared" ca="1" si="35"/>
        <v>0.36593791871851183</v>
      </c>
      <c r="AI46">
        <f t="shared" ca="1" si="35"/>
        <v>1.0918134314500096</v>
      </c>
    </row>
    <row r="47" spans="1:35" ht="19" thickTop="1">
      <c r="A47" s="1" t="s">
        <v>41</v>
      </c>
      <c r="B47" s="11">
        <f ca="1">MAX(0,Ro*(reck-1/spr)/(reck-1))</f>
        <v>7903.9707824980424</v>
      </c>
      <c r="F47" t="s">
        <v>84</v>
      </c>
      <c r="G47" s="31">
        <f ca="1">G39/G53</f>
        <v>0.99999999999999956</v>
      </c>
      <c r="H47" s="31">
        <f ca="1">H53/H39</f>
        <v>0.27450164079638073</v>
      </c>
      <c r="I47" s="31">
        <f ca="1">I53/I39</f>
        <v>0.49628611582952253</v>
      </c>
      <c r="J47" s="8" t="s">
        <v>76</v>
      </c>
      <c r="K47">
        <f t="shared" ref="K47:AI47" ca="1" si="36">lz*qa2_</f>
        <v>6.2755520423776181E-4</v>
      </c>
      <c r="L47">
        <f t="shared" ca="1" si="36"/>
        <v>3.7984818446540732E-2</v>
      </c>
      <c r="M47">
        <f t="shared" ca="1" si="36"/>
        <v>0.54620126155515536</v>
      </c>
      <c r="N47">
        <f t="shared" ca="1" si="36"/>
        <v>1.2670878633335609</v>
      </c>
      <c r="O47">
        <f t="shared" ca="1" si="36"/>
        <v>1.4562514244296012</v>
      </c>
      <c r="P47">
        <f t="shared" ca="1" si="36"/>
        <v>1.4318290451083657</v>
      </c>
      <c r="Q47">
        <f t="shared" ca="1" si="36"/>
        <v>1.2982606963711019</v>
      </c>
      <c r="R47">
        <f t="shared" ca="1" si="36"/>
        <v>1.1039944273244804</v>
      </c>
      <c r="S47">
        <f t="shared" ca="1" si="36"/>
        <v>0.89523942861002581</v>
      </c>
      <c r="T47">
        <f t="shared" ca="1" si="36"/>
        <v>0.70049412784891463</v>
      </c>
      <c r="U47">
        <f t="shared" ca="1" si="36"/>
        <v>0.53014366917794165</v>
      </c>
      <c r="V47">
        <f t="shared" ca="1" si="36"/>
        <v>0.38647871262681521</v>
      </c>
      <c r="W47">
        <f t="shared" ca="1" si="36"/>
        <v>0.26991903977234455</v>
      </c>
      <c r="X47">
        <f t="shared" ca="1" si="36"/>
        <v>0.18077712441106561</v>
      </c>
      <c r="Y47">
        <f t="shared" ca="1" si="36"/>
        <v>0.11717534165628621</v>
      </c>
      <c r="Z47">
        <f t="shared" ca="1" si="36"/>
        <v>9.7376110263775476E-2</v>
      </c>
      <c r="AA47">
        <f t="shared" ca="1" si="36"/>
        <v>7.9610160766008131E-2</v>
      </c>
      <c r="AB47">
        <f t="shared" ca="1" si="36"/>
        <v>6.4322457018811785E-2</v>
      </c>
      <c r="AC47">
        <f t="shared" ca="1" si="36"/>
        <v>5.1491288310546939E-2</v>
      </c>
      <c r="AD47">
        <f t="shared" ca="1" si="36"/>
        <v>4.0902544855362225E-2</v>
      </c>
      <c r="AE47">
        <f t="shared" ca="1" si="36"/>
        <v>3.2275434845704783E-2</v>
      </c>
      <c r="AF47">
        <f t="shared" ca="1" si="36"/>
        <v>2.531915557998711E-2</v>
      </c>
      <c r="AG47">
        <f t="shared" ca="1" si="36"/>
        <v>1.9759067470191252E-2</v>
      </c>
      <c r="AH47">
        <f t="shared" ca="1" si="36"/>
        <v>1.5348439640181245E-2</v>
      </c>
      <c r="AI47">
        <f t="shared" ca="1" si="36"/>
        <v>4.5793465109489159E-2</v>
      </c>
    </row>
    <row r="48" spans="1:35">
      <c r="A48" s="1" t="s">
        <v>43</v>
      </c>
      <c r="B48" s="1">
        <f ca="1">f1_*re*phi_q1</f>
        <v>22187.629858778811</v>
      </c>
      <c r="C48" s="20">
        <f ca="1">ye_1/SUM(ye_1,ye_2,ye_3)</f>
        <v>0.60367371601208486</v>
      </c>
      <c r="F48" t="s">
        <v>85</v>
      </c>
      <c r="G48" s="31">
        <f ca="1">G40/G54</f>
        <v>3.6429654740817323</v>
      </c>
      <c r="H48" s="31">
        <f t="shared" ref="H48:I49" ca="1" si="37">H40/H54</f>
        <v>1</v>
      </c>
      <c r="I48" s="31">
        <f ca="1">I54/I40</f>
        <v>0.34227911380571924</v>
      </c>
      <c r="J48" s="8" t="s">
        <v>77</v>
      </c>
      <c r="K48">
        <f t="shared" ref="K48:AI48" ca="1" si="38">lz*qa3_</f>
        <v>1.465895651678649E-6</v>
      </c>
      <c r="L48">
        <f t="shared" ca="1" si="38"/>
        <v>2.9623938628259072E-5</v>
      </c>
      <c r="M48">
        <f t="shared" ca="1" si="38"/>
        <v>2.6720605027695689E-4</v>
      </c>
      <c r="N48">
        <f t="shared" ca="1" si="38"/>
        <v>1.6454536548292744E-3</v>
      </c>
      <c r="O48">
        <f t="shared" ca="1" si="38"/>
        <v>8.4003975204206636E-3</v>
      </c>
      <c r="P48">
        <f t="shared" ca="1" si="38"/>
        <v>9.8668835478442643E-2</v>
      </c>
      <c r="Q48">
        <f t="shared" ca="1" si="38"/>
        <v>1.8377497797957703</v>
      </c>
      <c r="R48">
        <f t="shared" ca="1" si="38"/>
        <v>3.6971910901683316</v>
      </c>
      <c r="S48">
        <f t="shared" ca="1" si="38"/>
        <v>4.1716383037212612</v>
      </c>
      <c r="T48">
        <f t="shared" ca="1" si="38"/>
        <v>4.0204283438610169</v>
      </c>
      <c r="U48">
        <f t="shared" ca="1" si="38"/>
        <v>3.6272682522225241</v>
      </c>
      <c r="V48">
        <f t="shared" ca="1" si="38"/>
        <v>3.1259541840067717</v>
      </c>
      <c r="W48">
        <f t="shared" ca="1" si="38"/>
        <v>2.5753759956797349</v>
      </c>
      <c r="X48">
        <f t="shared" ca="1" si="38"/>
        <v>2.0336182661629372</v>
      </c>
      <c r="Y48">
        <f t="shared" ca="1" si="38"/>
        <v>1.5538998665018362</v>
      </c>
      <c r="Z48">
        <f t="shared" ca="1" si="38"/>
        <v>1.2913358954241305</v>
      </c>
      <c r="AA48">
        <f t="shared" ca="1" si="38"/>
        <v>1.0557359290605759</v>
      </c>
      <c r="AB48">
        <f t="shared" ca="1" si="38"/>
        <v>0.85300077611712766</v>
      </c>
      <c r="AC48">
        <f t="shared" ca="1" si="38"/>
        <v>0.68284252386879163</v>
      </c>
      <c r="AD48">
        <f t="shared" ca="1" si="38"/>
        <v>0.5424217936293334</v>
      </c>
      <c r="AE48">
        <f t="shared" ca="1" si="38"/>
        <v>0.42801491499076655</v>
      </c>
      <c r="AF48">
        <f t="shared" ca="1" si="38"/>
        <v>0.33576545986175493</v>
      </c>
      <c r="AG48">
        <f t="shared" ca="1" si="38"/>
        <v>0.26203134439492182</v>
      </c>
      <c r="AH48">
        <f t="shared" ca="1" si="38"/>
        <v>0.20354059114117054</v>
      </c>
      <c r="AI48">
        <f t="shared" ca="1" si="38"/>
        <v>0.60728185908791998</v>
      </c>
    </row>
    <row r="49" spans="1:47">
      <c r="A49" s="1" t="s">
        <v>44</v>
      </c>
      <c r="B49" s="1">
        <f ca="1">f2_*re*phi_q2</f>
        <v>8274.7236311216129</v>
      </c>
      <c r="C49" s="20">
        <f ca="1">ye_2/SUM(ye_1,ye_2,ye_3)</f>
        <v>0.22513595166163139</v>
      </c>
      <c r="F49" t="s">
        <v>86</v>
      </c>
      <c r="G49" s="31">
        <f ca="1">G41/G55</f>
        <v>2.0149667059062093</v>
      </c>
      <c r="H49" s="31">
        <f t="shared" ca="1" si="37"/>
        <v>2.9215922317936402</v>
      </c>
      <c r="I49" s="31">
        <f t="shared" ca="1" si="37"/>
        <v>1.0000000000000002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6291.9879204760491</v>
      </c>
      <c r="C50" s="20">
        <f ca="1">ye_3/SUM(ye_1,ye_2,ye_3)</f>
        <v>0.17119033232628397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36754.341410376474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10">
        <f ca="1">G39^0.5</f>
        <v>1029.9393819921836</v>
      </c>
      <c r="H52" s="110">
        <f ca="1">H40^0.5</f>
        <v>283.76422879603371</v>
      </c>
      <c r="I52" s="111">
        <f ca="1">I41^0.5</f>
        <v>499.64850540392018</v>
      </c>
      <c r="J52" s="110"/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2.8071497819690108</v>
      </c>
      <c r="C53">
        <f ca="1">AVERAGE(B53:B55)/B53</f>
        <v>0.55217466736063825</v>
      </c>
      <c r="G53" s="110">
        <f ca="1">G$52*$J53</f>
        <v>1060775.1305784411</v>
      </c>
      <c r="H53" s="110">
        <f t="shared" ref="H53:I53" ca="1" si="39">H$52*$J53</f>
        <v>292259.95443767554</v>
      </c>
      <c r="I53" s="110">
        <f t="shared" ca="1" si="39"/>
        <v>514607.67286903178</v>
      </c>
      <c r="J53" s="110">
        <f t="array" aca="1" ref="J53:J55" ca="1">TRANSPOSE(G52:I52)</f>
        <v>1029.9393819921836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1.0469071633519367</v>
      </c>
      <c r="C54">
        <f ca="1">AVERAGE(B53:B55)/B54</f>
        <v>1.4805868670602975</v>
      </c>
      <c r="G54" s="110">
        <f t="shared" ref="G54:I55" ca="1" si="40">G$52*$J54</f>
        <v>292259.95443767554</v>
      </c>
      <c r="H54" s="110">
        <f t="shared" ca="1" si="40"/>
        <v>80522.13754420777</v>
      </c>
      <c r="I54" s="110">
        <f ca="1">I$52*$J54</f>
        <v>141782.37280503428</v>
      </c>
      <c r="J54" s="110">
        <f ca="1"/>
        <v>283.76422879603371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0.79605404594973372</v>
      </c>
      <c r="C55">
        <f ca="1">AVERAGE(B53:B55)/B55</f>
        <v>1.9471504541390183</v>
      </c>
      <c r="G55" s="110">
        <f t="shared" ca="1" si="40"/>
        <v>514607.67286903178</v>
      </c>
      <c r="H55" s="110">
        <f t="shared" ca="1" si="40"/>
        <v>141782.37280503428</v>
      </c>
      <c r="I55" s="110">
        <f t="shared" ca="1" si="40"/>
        <v>249648.62895237125</v>
      </c>
      <c r="J55" s="110">
        <f ca="1"/>
        <v>499.64850540392018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4.7287483100045664E-2</v>
      </c>
      <c r="C56">
        <f ca="1">AVERAGE(B56:B58)/B56</f>
        <v>1.6366405448141996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0.15827112327573653</v>
      </c>
      <c r="C57">
        <f ca="1">AVERAGE(B56:B58)/B57</f>
        <v>0.48898757083387384</v>
      </c>
      <c r="G57">
        <f t="array" aca="1" ref="G57:I59" ca="1">MMULT($G$39:$I$41,TRANSPOSE($G$39:$I$41))</f>
        <v>3334012442882.4033</v>
      </c>
      <c r="H57">
        <f ca="1"/>
        <v>1644653678784.9275</v>
      </c>
      <c r="I57">
        <f ca="1"/>
        <v>1799829149271.5596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2.6619229935470813E-2</v>
      </c>
      <c r="C58">
        <f ca="1">AVERAGE(B56:B58)/B58</f>
        <v>2.9073948529451386</v>
      </c>
      <c r="G58">
        <f ca="1"/>
        <v>1644653678784.9275</v>
      </c>
      <c r="H58">
        <f ca="1"/>
        <v>1311641559962.665</v>
      </c>
      <c r="I58">
        <f ca="1"/>
        <v>1240765269467.741</v>
      </c>
      <c r="AL58" s="31"/>
      <c r="AM58" s="31"/>
      <c r="AN58" s="31"/>
      <c r="AO58" s="31"/>
      <c r="AP58" s="31"/>
    </row>
    <row r="59" spans="1:47">
      <c r="G59">
        <f ca="1"/>
        <v>1799829149271.5596</v>
      </c>
      <c r="H59">
        <f ca="1"/>
        <v>1240765269467.741</v>
      </c>
      <c r="I59">
        <f ca="1"/>
        <v>1309108705906.8557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59.363484751978689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6.6146441731385055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29.905224451627397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8" sqref="G48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G3" t="s">
        <v>142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0.62205315356595303</v>
      </c>
      <c r="E4" s="47">
        <v>24977</v>
      </c>
      <c r="F4" s="47">
        <f ca="1">ye_1</f>
        <v>24089.95109217945</v>
      </c>
      <c r="G4">
        <f ca="1">F4/(f1_*365*re*phib)</f>
        <v>8.3342646955281304E-4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0.15707438836794171</v>
      </c>
      <c r="E5" s="47">
        <v>9315</v>
      </c>
      <c r="F5" s="47">
        <f ca="1">ye_2</f>
        <v>6082.9437354769843</v>
      </c>
      <c r="G5">
        <f ca="1">F5/(f2_*365*re*phib)</f>
        <v>5.1774035083609578E-4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0.22087245806610536</v>
      </c>
      <c r="E6" s="47">
        <v>7083</v>
      </c>
      <c r="F6" s="47">
        <f ca="1">ye_3</f>
        <v>8553.6206703882544</v>
      </c>
      <c r="G6">
        <f ca="1">F6/(f3_*365*re*phib)</f>
        <v>1.5035853114911918E-3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0.25642204845738403</v>
      </c>
      <c r="J7" t="s">
        <v>7</v>
      </c>
      <c r="K7" s="1">
        <f>1</f>
        <v>1</v>
      </c>
      <c r="L7" s="1">
        <f ca="1">K7*EXP(-K8)</f>
        <v>0.86009259196399679</v>
      </c>
      <c r="M7" s="1">
        <f t="shared" ref="M7:AH7" ca="1" si="3">L7*EXP(-L8)</f>
        <v>0.73463722729084158</v>
      </c>
      <c r="N7" s="1">
        <f t="shared" ca="1" si="3"/>
        <v>0.60530296090732272</v>
      </c>
      <c r="O7" s="1">
        <f t="shared" ca="1" si="3"/>
        <v>0.49148970181280999</v>
      </c>
      <c r="P7" s="1">
        <f t="shared" ca="1" si="3"/>
        <v>0.40364956738414665</v>
      </c>
      <c r="Q7" s="1">
        <f t="shared" ca="1" si="3"/>
        <v>0.33480033822102218</v>
      </c>
      <c r="R7" s="1">
        <f t="shared" ca="1" si="3"/>
        <v>0.27502833380416819</v>
      </c>
      <c r="S7" s="1">
        <f t="shared" ca="1" si="3"/>
        <v>0.2236606594910448</v>
      </c>
      <c r="T7" s="1">
        <f t="shared" ca="1" si="3"/>
        <v>0.18177509100120418</v>
      </c>
      <c r="U7" s="1">
        <f t="shared" ca="1" si="3"/>
        <v>0.14737566020518228</v>
      </c>
      <c r="V7" s="1">
        <f t="shared" ca="1" si="3"/>
        <v>0.11802450200695769</v>
      </c>
      <c r="W7" s="1">
        <f t="shared" ca="1" si="3"/>
        <v>9.1961394891583392E-2</v>
      </c>
      <c r="X7" s="1">
        <f t="shared" ca="1" si="3"/>
        <v>6.901077765454712E-2</v>
      </c>
      <c r="Y7" s="1">
        <f t="shared" ca="1" si="3"/>
        <v>5.0143901982284356E-2</v>
      </c>
      <c r="Z7" s="1">
        <f t="shared" ca="1" si="3"/>
        <v>3.5771301855954639E-2</v>
      </c>
      <c r="AA7" s="1">
        <f t="shared" ca="1" si="3"/>
        <v>2.5256851541288074E-2</v>
      </c>
      <c r="AB7" s="1">
        <f t="shared" ca="1" si="3"/>
        <v>1.7755206575977168E-2</v>
      </c>
      <c r="AC7" s="1">
        <f t="shared" ca="1" si="3"/>
        <v>1.2459683188165318E-2</v>
      </c>
      <c r="AD7" s="1">
        <f t="shared" ca="1" si="3"/>
        <v>8.737483410141373E-3</v>
      </c>
      <c r="AE7" s="1">
        <f t="shared" ca="1" si="3"/>
        <v>6.1255894090896787E-3</v>
      </c>
      <c r="AF7" s="1">
        <f t="shared" ca="1" si="3"/>
        <v>4.2940177249520964E-3</v>
      </c>
      <c r="AG7" s="1">
        <f t="shared" ca="1" si="3"/>
        <v>3.0099720692694024E-3</v>
      </c>
      <c r="AH7" s="1">
        <f t="shared" ca="1" si="3"/>
        <v>2.1098656721129823E-3</v>
      </c>
      <c r="AI7" s="1">
        <f ca="1">AH7*EXP(-AH8)/(1-EXP(-AI8))</f>
        <v>4.9454789030368949E-3</v>
      </c>
    </row>
    <row r="8" spans="1:35">
      <c r="A8" s="5"/>
      <c r="B8" s="26"/>
      <c r="C8" s="26"/>
      <c r="E8" t="s">
        <v>111</v>
      </c>
      <c r="F8">
        <f ca="1">SUMXMY2(E4:E6,F4:F6)</f>
        <v>13395768.6180813</v>
      </c>
      <c r="J8" t="s">
        <v>11</v>
      </c>
      <c r="K8" s="1">
        <f ca="1">M+f1_*flt1_ +f2_*flt2_ +f3_*flt3_</f>
        <v>0.15071523045563689</v>
      </c>
      <c r="L8" s="1">
        <f t="shared" ref="L8:AI8" ca="1" si="4">M+f1_*flt1_ +f2_*flt2_ +f3_*flt3_</f>
        <v>0.15766323947037703</v>
      </c>
      <c r="M8" s="1">
        <f t="shared" ca="1" si="4"/>
        <v>0.19364771453435978</v>
      </c>
      <c r="N8" s="1">
        <f t="shared" ca="1" si="4"/>
        <v>0.20828810772208689</v>
      </c>
      <c r="O8" s="1">
        <f t="shared" ca="1" si="4"/>
        <v>0.19689389271905139</v>
      </c>
      <c r="P8" s="1">
        <f t="shared" ca="1" si="4"/>
        <v>0.18701274524770839</v>
      </c>
      <c r="Q8" s="1">
        <f t="shared" ca="1" si="4"/>
        <v>0.19666022445862211</v>
      </c>
      <c r="R8" s="1">
        <f t="shared" ca="1" si="4"/>
        <v>0.2067441341465476</v>
      </c>
      <c r="S8" s="1">
        <f t="shared" ca="1" si="4"/>
        <v>0.2073598310662306</v>
      </c>
      <c r="T8" s="1">
        <f t="shared" ca="1" si="4"/>
        <v>0.20978532055026833</v>
      </c>
      <c r="U8" s="1">
        <f t="shared" ca="1" si="4"/>
        <v>0.22209259157388134</v>
      </c>
      <c r="V8" s="1">
        <f t="shared" ca="1" si="4"/>
        <v>0.24952337879740649</v>
      </c>
      <c r="W8" s="1">
        <f t="shared" ca="1" si="4"/>
        <v>0.28710617794833432</v>
      </c>
      <c r="X8" s="1">
        <f t="shared" ca="1" si="4"/>
        <v>0.31936577884463185</v>
      </c>
      <c r="Y8" s="1">
        <f t="shared" ca="1" si="4"/>
        <v>0.33775096364812357</v>
      </c>
      <c r="Z8" s="1">
        <f t="shared" ca="1" si="4"/>
        <v>0.34804848071593331</v>
      </c>
      <c r="AA8" s="1">
        <f t="shared" ca="1" si="4"/>
        <v>0.35241866594975918</v>
      </c>
      <c r="AB8" s="1">
        <f t="shared" ca="1" si="4"/>
        <v>0.35418071440809479</v>
      </c>
      <c r="AC8" s="1">
        <f t="shared" ca="1" si="4"/>
        <v>0.35487587786322355</v>
      </c>
      <c r="AD8" s="1">
        <f t="shared" ca="1" si="4"/>
        <v>0.35514722700542617</v>
      </c>
      <c r="AE8" s="1">
        <f t="shared" ca="1" si="4"/>
        <v>0.35525215456670189</v>
      </c>
      <c r="AF8" s="1">
        <f t="shared" ca="1" si="4"/>
        <v>0.35529202788449149</v>
      </c>
      <c r="AG8" s="1">
        <f t="shared" ca="1" si="4"/>
        <v>0.35530651644950423</v>
      </c>
      <c r="AH8" s="1">
        <f t="shared" ca="1" si="4"/>
        <v>0.35531110649651382</v>
      </c>
      <c r="AI8" s="1">
        <f t="shared" ca="1" si="4"/>
        <v>0.35531183776513681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0.86009259196399679</v>
      </c>
      <c r="L10" s="1">
        <f t="shared" ca="1" si="5"/>
        <v>0.85413737329526174</v>
      </c>
      <c r="M10" s="1">
        <f t="shared" ca="1" si="5"/>
        <v>0.82394811809296509</v>
      </c>
      <c r="N10" s="1">
        <f t="shared" ca="1" si="5"/>
        <v>0.81197306729854479</v>
      </c>
      <c r="O10" s="1">
        <f t="shared" ca="1" si="5"/>
        <v>0.82127777224085485</v>
      </c>
      <c r="P10" s="1">
        <f t="shared" ca="1" si="5"/>
        <v>0.82943316498689124</v>
      </c>
      <c r="Q10" s="1">
        <f t="shared" ca="1" si="5"/>
        <v>0.82146970121220475</v>
      </c>
      <c r="R10" s="1">
        <f t="shared" ca="1" si="5"/>
        <v>0.8132277005695735</v>
      </c>
      <c r="S10" s="1">
        <f t="shared" ca="1" si="5"/>
        <v>0.81272715288797714</v>
      </c>
      <c r="T10" s="1">
        <f t="shared" ca="1" si="5"/>
        <v>0.81075828043021581</v>
      </c>
      <c r="U10" s="1">
        <f t="shared" ca="1" si="5"/>
        <v>0.80084120975362738</v>
      </c>
      <c r="V10" s="1">
        <f t="shared" ca="1" si="5"/>
        <v>0.77917206451048748</v>
      </c>
      <c r="W10" s="1">
        <f t="shared" ca="1" si="5"/>
        <v>0.75043204527189278</v>
      </c>
      <c r="X10" s="1">
        <f t="shared" ca="1" si="5"/>
        <v>0.72660972222764653</v>
      </c>
      <c r="Y10" s="1">
        <f t="shared" ca="1" si="5"/>
        <v>0.7133729215686585</v>
      </c>
      <c r="Z10" s="1">
        <f t="shared" ca="1" si="5"/>
        <v>0.70606464486513265</v>
      </c>
      <c r="AA10" s="1">
        <f t="shared" ca="1" si="5"/>
        <v>0.7029857441634102</v>
      </c>
      <c r="AB10" s="1">
        <f t="shared" ca="1" si="5"/>
        <v>0.70174813989623164</v>
      </c>
      <c r="AC10" s="1">
        <f t="shared" ca="1" si="5"/>
        <v>0.70126047975606376</v>
      </c>
      <c r="AD10" s="1">
        <f t="shared" ca="1" si="5"/>
        <v>0.70107021914111611</v>
      </c>
      <c r="AE10" s="1">
        <f t="shared" ca="1" si="5"/>
        <v>0.70099666141192263</v>
      </c>
      <c r="AF10" s="1">
        <f t="shared" ca="1" si="5"/>
        <v>0.70096871090651613</v>
      </c>
      <c r="AG10" s="1">
        <f t="shared" ca="1" si="5"/>
        <v>0.700958554949349</v>
      </c>
      <c r="AH10" s="1">
        <f t="shared" ca="1" si="5"/>
        <v>0.70095533752401407</v>
      </c>
      <c r="AI10" s="1">
        <f t="shared" ca="1" si="5"/>
        <v>0.70095482493755712</v>
      </c>
    </row>
    <row r="11" spans="1:35">
      <c r="A11" s="5">
        <v>1</v>
      </c>
      <c r="B11" s="25">
        <f>'Status Quo'!B11</f>
        <v>0.26028638242243257</v>
      </c>
      <c r="C11" s="18">
        <f ca="1">mpr1_/SUM(mpr1_,mpr2_,mpr3_)</f>
        <v>0.26028638242243246</v>
      </c>
      <c r="J11" t="s">
        <v>56</v>
      </c>
      <c r="K11" s="1">
        <f ca="1">1-sa</f>
        <v>0.13990740803600321</v>
      </c>
      <c r="L11" s="1">
        <f t="shared" ref="L11:AI11" ca="1" si="6">1-sa</f>
        <v>0.14586262670473826</v>
      </c>
      <c r="M11" s="1">
        <f t="shared" ca="1" si="6"/>
        <v>0.17605188190703491</v>
      </c>
      <c r="N11" s="1">
        <f t="shared" ca="1" si="6"/>
        <v>0.18802693270145521</v>
      </c>
      <c r="O11" s="1">
        <f t="shared" ca="1" si="6"/>
        <v>0.17872222775914515</v>
      </c>
      <c r="P11" s="1">
        <f t="shared" ca="1" si="6"/>
        <v>0.17056683501310876</v>
      </c>
      <c r="Q11" s="1">
        <f t="shared" ca="1" si="6"/>
        <v>0.17853029878779525</v>
      </c>
      <c r="R11" s="1">
        <f t="shared" ca="1" si="6"/>
        <v>0.1867722994304265</v>
      </c>
      <c r="S11" s="1">
        <f t="shared" ca="1" si="6"/>
        <v>0.18727284711202286</v>
      </c>
      <c r="T11" s="1">
        <f t="shared" ca="1" si="6"/>
        <v>0.18924171956978419</v>
      </c>
      <c r="U11" s="1">
        <f t="shared" ca="1" si="6"/>
        <v>0.19915879024637262</v>
      </c>
      <c r="V11" s="1">
        <f t="shared" ca="1" si="6"/>
        <v>0.22082793548951252</v>
      </c>
      <c r="W11" s="1">
        <f t="shared" ca="1" si="6"/>
        <v>0.24956795472810722</v>
      </c>
      <c r="X11" s="1">
        <f t="shared" ca="1" si="6"/>
        <v>0.27339027777235347</v>
      </c>
      <c r="Y11" s="1">
        <f t="shared" ca="1" si="6"/>
        <v>0.2866270784313415</v>
      </c>
      <c r="Z11" s="1">
        <f t="shared" ca="1" si="6"/>
        <v>0.29393535513486735</v>
      </c>
      <c r="AA11" s="1">
        <f t="shared" ca="1" si="6"/>
        <v>0.2970142558365898</v>
      </c>
      <c r="AB11" s="1">
        <f t="shared" ca="1" si="6"/>
        <v>0.29825186010376836</v>
      </c>
      <c r="AC11" s="1">
        <f t="shared" ca="1" si="6"/>
        <v>0.29873952024393624</v>
      </c>
      <c r="AD11" s="1">
        <f t="shared" ca="1" si="6"/>
        <v>0.29892978085888389</v>
      </c>
      <c r="AE11" s="1">
        <f t="shared" ca="1" si="6"/>
        <v>0.29900333858807737</v>
      </c>
      <c r="AF11" s="1">
        <f t="shared" ca="1" si="6"/>
        <v>0.29903128909348387</v>
      </c>
      <c r="AG11" s="1">
        <f t="shared" ca="1" si="6"/>
        <v>0.299041445050651</v>
      </c>
      <c r="AH11" s="1">
        <f t="shared" ca="1" si="6"/>
        <v>0.29904466247598593</v>
      </c>
      <c r="AI11" s="1">
        <f t="shared" ca="1" si="6"/>
        <v>0.29904517506244288</v>
      </c>
    </row>
    <row r="12" spans="1:35">
      <c r="A12" s="5">
        <v>2</v>
      </c>
      <c r="B12" s="25">
        <f>'Status Quo'!B12</f>
        <v>0.55746237931999676</v>
      </c>
      <c r="C12" s="18">
        <f ca="1">mpr2_/SUM(mpr1_,mpr2_,mpr3_)</f>
        <v>0.55746237931999665</v>
      </c>
      <c r="J12" t="s">
        <v>100</v>
      </c>
      <c r="K12">
        <f>1/(1+EXP(($E18-len)/2.5))</f>
        <v>5.6126934388498569E-12</v>
      </c>
      <c r="L12">
        <f t="shared" ref="L12:AI12" si="7">1/(1+EXP(($E18-len)/2.5))</f>
        <v>1.2978976454834829E-9</v>
      </c>
      <c r="M12">
        <f t="shared" si="7"/>
        <v>1.99637952261423E-7</v>
      </c>
      <c r="N12">
        <f t="shared" si="7"/>
        <v>2.1058746277498515E-5</v>
      </c>
      <c r="O12">
        <f t="shared" si="7"/>
        <v>1.564676467664138E-3</v>
      </c>
      <c r="P12">
        <f t="shared" si="7"/>
        <v>7.7870643543285392E-2</v>
      </c>
      <c r="Q12">
        <f t="shared" si="7"/>
        <v>0.77146898694811417</v>
      </c>
      <c r="R12">
        <f>1/(1+EXP(($E18-len)/2.5))</f>
        <v>0.99032644321048724</v>
      </c>
      <c r="S12">
        <f t="shared" si="7"/>
        <v>0.99958428557508638</v>
      </c>
      <c r="T12">
        <f t="shared" si="7"/>
        <v>0.99997757111253649</v>
      </c>
      <c r="U12">
        <f t="shared" si="7"/>
        <v>0.99999849463304669</v>
      </c>
      <c r="V12">
        <f t="shared" si="7"/>
        <v>0.99999987630899723</v>
      </c>
      <c r="W12">
        <f t="shared" si="7"/>
        <v>0.99999998774476839</v>
      </c>
      <c r="X12">
        <f t="shared" si="7"/>
        <v>0.9999999985562078</v>
      </c>
      <c r="Y12">
        <f t="shared" si="7"/>
        <v>0.99999999980035637</v>
      </c>
      <c r="Z12">
        <f t="shared" si="7"/>
        <v>0.99999999996798428</v>
      </c>
      <c r="AA12">
        <f t="shared" si="7"/>
        <v>0.99999999999411138</v>
      </c>
      <c r="AB12">
        <f t="shared" si="7"/>
        <v>0.99999999999877054</v>
      </c>
      <c r="AC12">
        <f t="shared" si="7"/>
        <v>0.99999999999971134</v>
      </c>
      <c r="AD12">
        <f t="shared" si="7"/>
        <v>0.9999999999999245</v>
      </c>
      <c r="AE12">
        <f t="shared" si="7"/>
        <v>0.99999999999997824</v>
      </c>
      <c r="AF12">
        <f t="shared" si="7"/>
        <v>0.99999999999999312</v>
      </c>
      <c r="AG12">
        <f t="shared" si="7"/>
        <v>0.99999999999999756</v>
      </c>
      <c r="AH12">
        <f t="shared" si="7"/>
        <v>0.99999999999999911</v>
      </c>
      <c r="AI12">
        <f t="shared" si="7"/>
        <v>0.99999999999999956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0.18225123825757072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0.25642204845738403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2.0614628169173786E-2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2.8003936236140991E-6</v>
      </c>
      <c r="L18" s="4">
        <f t="shared" ref="K18:O20" si="11">((EXP(g*(ah-age)/gh)/(1+EXP((ah-age)/gh))) *(1/(1-g))*((1-g)/g)^g) *(sr+(1-sr)*dmr)</f>
        <v>7.1844380013164611E-6</v>
      </c>
      <c r="M18" s="4">
        <f t="shared" si="11"/>
        <v>1.8430976549083743E-5</v>
      </c>
      <c r="N18" s="4">
        <f t="shared" si="11"/>
        <v>4.7282803581427317E-5</v>
      </c>
      <c r="O18" s="4">
        <f t="shared" si="11"/>
        <v>1.2223426423525944E-4</v>
      </c>
      <c r="P18" s="4">
        <f t="shared" ref="P18:AI18" si="12">((EXP(g*(ah-age)/gh)/(1+EXP((ah-age)/gh))) *(1/(1-g))*((1-g)/g)^g) *(sr_1+(1-sr_1)*dmr)</f>
        <v>4.3768996698402487E-4</v>
      </c>
      <c r="Q18" s="4">
        <f t="shared" si="12"/>
        <v>4.0131745713037487E-3</v>
      </c>
      <c r="R18" s="4">
        <f t="shared" si="12"/>
        <v>1.2541150244253106E-2</v>
      </c>
      <c r="S18" s="4">
        <f t="shared" si="12"/>
        <v>3.1798242599123998E-2</v>
      </c>
      <c r="T18" s="4">
        <f t="shared" si="12"/>
        <v>7.7737150420918499E-2</v>
      </c>
      <c r="U18" s="4">
        <f t="shared" si="12"/>
        <v>0.17780713941703752</v>
      </c>
      <c r="V18" s="4">
        <f t="shared" si="12"/>
        <v>0.35685360493485607</v>
      </c>
      <c r="W18" s="4">
        <f t="shared" si="12"/>
        <v>0.58740289618622155</v>
      </c>
      <c r="X18" s="4">
        <f t="shared" si="12"/>
        <v>0.78510412883741709</v>
      </c>
      <c r="Y18" s="4">
        <f t="shared" si="12"/>
        <v>0.90364572740855598</v>
      </c>
      <c r="Z18" s="4">
        <f t="shared" si="12"/>
        <v>0.96014681956456516</v>
      </c>
      <c r="AA18" s="4">
        <f t="shared" si="12"/>
        <v>0.98412543858595092</v>
      </c>
      <c r="AB18" s="4">
        <f t="shared" si="12"/>
        <v>0.99379356165602495</v>
      </c>
      <c r="AC18" s="4">
        <f t="shared" si="12"/>
        <v>0.9976078301037562</v>
      </c>
      <c r="AD18" s="4">
        <f t="shared" si="12"/>
        <v>0.99909668637746618</v>
      </c>
      <c r="AE18" s="4">
        <f t="shared" si="12"/>
        <v>0.99967240980383243</v>
      </c>
      <c r="AF18" s="4">
        <f t="shared" si="12"/>
        <v>0.99989118933953602</v>
      </c>
      <c r="AG18" s="4">
        <f t="shared" si="12"/>
        <v>0.99997068614848539</v>
      </c>
      <c r="AH18" s="4">
        <f t="shared" si="12"/>
        <v>0.99999587111952071</v>
      </c>
      <c r="AI18" s="4">
        <f t="shared" si="12"/>
        <v>0.99999988349217195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104</v>
      </c>
      <c r="K19" s="4">
        <f t="shared" si="11"/>
        <v>9.6368750117234673E-3</v>
      </c>
      <c r="L19" s="4">
        <f t="shared" si="11"/>
        <v>0.10338686902456193</v>
      </c>
      <c r="M19" s="4">
        <f t="shared" si="11"/>
        <v>0.58900148418547171</v>
      </c>
      <c r="N19" s="4">
        <f t="shared" si="11"/>
        <v>0.78620159371546716</v>
      </c>
      <c r="O19" s="4">
        <f t="shared" si="11"/>
        <v>0.63094246044403202</v>
      </c>
      <c r="P19" s="4">
        <f t="shared" ref="P19:Y19" si="13">((EXP(g*(ah-age)/gh)/(1+EXP((ah-age)/gh))) *(1/(1-g))*((1-g)/g)^g) *(sr_2+(1-sr_2)*dmr)</f>
        <v>0.48244868920073086</v>
      </c>
      <c r="Q19" s="4">
        <f t="shared" si="13"/>
        <v>0.36785203592790405</v>
      </c>
      <c r="R19" s="4">
        <f t="shared" si="13"/>
        <v>0.28041526174778192</v>
      </c>
      <c r="S19" s="4">
        <f t="shared" si="13"/>
        <v>0.21375876430078386</v>
      </c>
      <c r="T19" s="4">
        <f t="shared" si="13"/>
        <v>0.16294678762579537</v>
      </c>
      <c r="U19" s="4">
        <f t="shared" si="13"/>
        <v>0.12421317095808988</v>
      </c>
      <c r="V19" s="4">
        <f t="shared" si="13"/>
        <v>9.4686811567246135E-2</v>
      </c>
      <c r="W19" s="4">
        <f t="shared" si="13"/>
        <v>7.2179079023195244E-2</v>
      </c>
      <c r="X19" s="4">
        <f t="shared" si="13"/>
        <v>5.5021595534917263E-2</v>
      </c>
      <c r="Y19" s="4">
        <f t="shared" si="13"/>
        <v>4.1942568624911379E-2</v>
      </c>
      <c r="Z19" s="4">
        <f>Y19</f>
        <v>4.1942568624911379E-2</v>
      </c>
      <c r="AA19" s="4">
        <f t="shared" ref="AA19:AI20" si="14">Z19</f>
        <v>4.1942568624911379E-2</v>
      </c>
      <c r="AB19" s="4">
        <f t="shared" si="14"/>
        <v>4.1942568624911379E-2</v>
      </c>
      <c r="AC19" s="4">
        <f t="shared" si="14"/>
        <v>4.1942568624911379E-2</v>
      </c>
      <c r="AD19" s="4">
        <f t="shared" si="14"/>
        <v>4.1942568624911379E-2</v>
      </c>
      <c r="AE19" s="4">
        <f t="shared" si="14"/>
        <v>4.1942568624911379E-2</v>
      </c>
      <c r="AF19" s="4">
        <f t="shared" si="14"/>
        <v>4.1942568624911379E-2</v>
      </c>
      <c r="AG19" s="4">
        <f t="shared" si="14"/>
        <v>4.1942568624911379E-2</v>
      </c>
      <c r="AH19" s="4">
        <f t="shared" si="14"/>
        <v>4.1942568624911379E-2</v>
      </c>
      <c r="AI19" s="4">
        <f t="shared" si="14"/>
        <v>4.1942568624911379E-2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1"/>
        <v>2.2510614333307156E-5</v>
      </c>
      <c r="L20" s="4">
        <f t="shared" si="11"/>
        <v>8.0630272519583498E-5</v>
      </c>
      <c r="M20" s="4">
        <f t="shared" si="11"/>
        <v>2.8814426343204755E-4</v>
      </c>
      <c r="N20" s="4">
        <f t="shared" si="11"/>
        <v>1.0209696764107985E-3</v>
      </c>
      <c r="O20" s="4">
        <f t="shared" si="11"/>
        <v>3.6395964263644795E-3</v>
      </c>
      <c r="P20" s="4">
        <f t="shared" ref="P20:Y20" si="15">((EXP(g*(ah-age)/gh)/(1+EXP((ah-age)/gh))) *(1/(1-g))*((1-g)/g)^g) *(sr_3+(1-sr_3)*dmr)</f>
        <v>3.3246043236910654E-2</v>
      </c>
      <c r="Q20" s="4">
        <f t="shared" si="15"/>
        <v>0.52071205722667446</v>
      </c>
      <c r="R20" s="4">
        <f t="shared" si="15"/>
        <v>0.93908880481731272</v>
      </c>
      <c r="S20" s="4">
        <f t="shared" si="15"/>
        <v>0.99607347533585666</v>
      </c>
      <c r="T20" s="4">
        <f t="shared" si="15"/>
        <v>0.9352196649008131</v>
      </c>
      <c r="U20" s="4">
        <f t="shared" si="15"/>
        <v>0.84987243594328499</v>
      </c>
      <c r="V20" s="4">
        <f t="shared" si="15"/>
        <v>0.7658549491047888</v>
      </c>
      <c r="W20" s="4">
        <f t="shared" si="15"/>
        <v>0.68868156786342249</v>
      </c>
      <c r="X20" s="4">
        <f t="shared" si="15"/>
        <v>0.61895509223172329</v>
      </c>
      <c r="Y20" s="4">
        <f t="shared" si="15"/>
        <v>0.55621388310667164</v>
      </c>
      <c r="Z20" s="4">
        <f>Y20</f>
        <v>0.55621388310667164</v>
      </c>
      <c r="AA20" s="4">
        <f t="shared" si="14"/>
        <v>0.55621388310667164</v>
      </c>
      <c r="AB20" s="4">
        <f t="shared" si="14"/>
        <v>0.55621388310667164</v>
      </c>
      <c r="AC20" s="4">
        <f t="shared" si="14"/>
        <v>0.55621388310667164</v>
      </c>
      <c r="AD20" s="4">
        <f t="shared" si="14"/>
        <v>0.55621388310667164</v>
      </c>
      <c r="AE20" s="4">
        <f t="shared" si="14"/>
        <v>0.55621388310667164</v>
      </c>
      <c r="AF20" s="4">
        <f t="shared" si="14"/>
        <v>0.55621388310667164</v>
      </c>
      <c r="AG20" s="4">
        <f t="shared" si="14"/>
        <v>0.55621388310667164</v>
      </c>
      <c r="AH20" s="4">
        <f t="shared" si="14"/>
        <v>0.55621388310667164</v>
      </c>
      <c r="AI20" s="4">
        <f t="shared" si="14"/>
        <v>0.55621388310667164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6">wa*flt1_*(1-EXP(-za))/za</f>
        <v>1.8238254666113298E-7</v>
      </c>
      <c r="L22" s="1">
        <f t="shared" ca="1" si="16"/>
        <v>3.0733486832208769E-6</v>
      </c>
      <c r="M22" s="1">
        <f t="shared" ca="1" si="16"/>
        <v>2.348671117974093E-5</v>
      </c>
      <c r="N22" s="1">
        <f t="shared" ca="1" si="16"/>
        <v>1.2917371705434879E-4</v>
      </c>
      <c r="O22" s="1">
        <f t="shared" ca="1" si="16"/>
        <v>5.9902601688677063E-4</v>
      </c>
      <c r="P22" s="1">
        <f t="shared" ca="1" si="16"/>
        <v>3.4026116520752378E-3</v>
      </c>
      <c r="Q22" s="1">
        <f t="shared" ca="1" si="16"/>
        <v>4.5039619963929092E-2</v>
      </c>
      <c r="R22" s="1">
        <f t="shared" ca="1" si="16"/>
        <v>0.19091032675530184</v>
      </c>
      <c r="S22" s="1">
        <f t="shared" ca="1" si="16"/>
        <v>0.62906097305696063</v>
      </c>
      <c r="T22" s="1">
        <f t="shared" ca="1" si="16"/>
        <v>1.9238602680285246</v>
      </c>
      <c r="U22" s="1">
        <f t="shared" ca="1" si="16"/>
        <v>5.3172054484640157</v>
      </c>
      <c r="V22" s="1">
        <f t="shared" ca="1" si="16"/>
        <v>12.491561156331001</v>
      </c>
      <c r="W22" s="1">
        <f t="shared" ca="1" si="16"/>
        <v>23.470322059914537</v>
      </c>
      <c r="X22" s="1">
        <f t="shared" ca="1" si="16"/>
        <v>35.289288801164346</v>
      </c>
      <c r="Y22" s="1">
        <f t="shared" ca="1" si="16"/>
        <v>45.327542000472853</v>
      </c>
      <c r="Z22" s="1">
        <f t="shared" ca="1" si="16"/>
        <v>53.277843864873013</v>
      </c>
      <c r="AA22" s="1">
        <f t="shared" ca="1" si="16"/>
        <v>59.921297848772411</v>
      </c>
      <c r="AB22" s="1">
        <f t="shared" ca="1" si="16"/>
        <v>65.849018479727206</v>
      </c>
      <c r="AC22" s="1">
        <f t="shared" ca="1" si="16"/>
        <v>71.371858639630318</v>
      </c>
      <c r="AD22" s="1">
        <f t="shared" ca="1" si="16"/>
        <v>76.626110566923359</v>
      </c>
      <c r="AE22" s="1">
        <f t="shared" ca="1" si="16"/>
        <v>81.663697314836909</v>
      </c>
      <c r="AF22" s="1">
        <f t="shared" ca="1" si="16"/>
        <v>86.500410234118007</v>
      </c>
      <c r="AG22" s="1">
        <f t="shared" ca="1" si="16"/>
        <v>91.138289666984235</v>
      </c>
      <c r="AH22" s="1">
        <f t="shared" ca="1" si="16"/>
        <v>95.575299144325413</v>
      </c>
      <c r="AI22" s="1">
        <f t="shared" ca="1" si="16"/>
        <v>99.809245187223368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7">wa*flt2_*(1-EXP(-za))/za</f>
        <v>6.2762527084491142E-4</v>
      </c>
      <c r="L23" s="1">
        <f t="shared" ca="1" si="17"/>
        <v>4.4226687977646131E-2</v>
      </c>
      <c r="M23" s="1">
        <f t="shared" ca="1" si="17"/>
        <v>0.75056835467519678</v>
      </c>
      <c r="N23" s="1">
        <f t="shared" ca="1" si="17"/>
        <v>2.1478544951207432</v>
      </c>
      <c r="O23" s="1">
        <f t="shared" ca="1" si="17"/>
        <v>3.0920213029392491</v>
      </c>
      <c r="P23" s="1">
        <f t="shared" ca="1" si="17"/>
        <v>3.750566965732498</v>
      </c>
      <c r="Q23" s="1">
        <f t="shared" ca="1" si="17"/>
        <v>4.1283815609765551</v>
      </c>
      <c r="R23" s="1">
        <f t="shared" ca="1" si="17"/>
        <v>4.2686809586683792</v>
      </c>
      <c r="S23" s="1">
        <f t="shared" ca="1" si="17"/>
        <v>4.2287650284864799</v>
      </c>
      <c r="T23" s="1">
        <f t="shared" ca="1" si="17"/>
        <v>4.0326516835095196</v>
      </c>
      <c r="U23" s="1">
        <f t="shared" ca="1" si="17"/>
        <v>3.714513104225003</v>
      </c>
      <c r="V23" s="1">
        <f t="shared" ca="1" si="17"/>
        <v>3.3144854949865596</v>
      </c>
      <c r="W23" s="1">
        <f t="shared" ca="1" si="17"/>
        <v>2.8839936637380013</v>
      </c>
      <c r="X23" s="1">
        <f t="shared" ca="1" si="17"/>
        <v>2.4731407004670589</v>
      </c>
      <c r="Y23" s="1">
        <f t="shared" ca="1" si="17"/>
        <v>2.1038704475540961</v>
      </c>
      <c r="Z23" s="1">
        <f t="shared" ca="1" si="17"/>
        <v>2.3273624168261735</v>
      </c>
      <c r="AA23" s="1">
        <f t="shared" ca="1" si="17"/>
        <v>2.5537934988522202</v>
      </c>
      <c r="AB23" s="1">
        <f t="shared" ca="1" si="17"/>
        <v>2.7791254472072797</v>
      </c>
      <c r="AC23" s="1">
        <f t="shared" ca="1" si="17"/>
        <v>3.0006972565249694</v>
      </c>
      <c r="AD23" s="1">
        <f t="shared" ca="1" si="17"/>
        <v>3.2168016816932936</v>
      </c>
      <c r="AE23" s="1">
        <f t="shared" ca="1" si="17"/>
        <v>3.4263076535879073</v>
      </c>
      <c r="AF23" s="1">
        <f t="shared" ca="1" si="17"/>
        <v>3.6284442057379644</v>
      </c>
      <c r="AG23" s="1">
        <f t="shared" ca="1" si="17"/>
        <v>3.8226860263651017</v>
      </c>
      <c r="AH23" s="1">
        <f t="shared" ca="1" si="17"/>
        <v>4.0086900946095811</v>
      </c>
      <c r="AI23" s="1">
        <f t="shared" ca="1" si="17"/>
        <v>4.1862566033973865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8">wa*flt3_*(1-EXP(-za))/za</f>
        <v>1.4660593190883921E-6</v>
      </c>
      <c r="L24" s="1">
        <f t="shared" ca="1" si="18"/>
        <v>3.4491903448870341E-5</v>
      </c>
      <c r="M24" s="1">
        <f t="shared" ca="1" si="18"/>
        <v>3.6718407596607366E-4</v>
      </c>
      <c r="N24" s="1">
        <f t="shared" ca="1" si="18"/>
        <v>2.7892264864252244E-3</v>
      </c>
      <c r="O24" s="1">
        <f t="shared" ca="1" si="18"/>
        <v>1.7836348621236588E-2</v>
      </c>
      <c r="P24" s="1">
        <f t="shared" ca="1" si="18"/>
        <v>0.25845548821419112</v>
      </c>
      <c r="Q24" s="1">
        <f t="shared" ca="1" si="18"/>
        <v>5.8439205051840322</v>
      </c>
      <c r="R24" s="1">
        <f t="shared" ca="1" si="18"/>
        <v>14.29547905002363</v>
      </c>
      <c r="S24" s="1">
        <f t="shared" ca="1" si="18"/>
        <v>19.705206904996196</v>
      </c>
      <c r="T24" s="1">
        <f t="shared" ca="1" si="18"/>
        <v>23.145072149409081</v>
      </c>
      <c r="U24" s="1">
        <f t="shared" ca="1" si="18"/>
        <v>25.414875700227444</v>
      </c>
      <c r="V24" s="1">
        <f t="shared" ca="1" si="18"/>
        <v>26.808539415953632</v>
      </c>
      <c r="W24" s="1">
        <f t="shared" ca="1" si="18"/>
        <v>27.517021620807864</v>
      </c>
      <c r="X24" s="1">
        <f t="shared" ca="1" si="18"/>
        <v>27.821131239063753</v>
      </c>
      <c r="Y24" s="1">
        <f t="shared" ca="1" si="18"/>
        <v>27.900102200522003</v>
      </c>
      <c r="Z24" s="1">
        <f t="shared" ca="1" si="18"/>
        <v>30.863901036584384</v>
      </c>
      <c r="AA24" s="1">
        <f t="shared" ca="1" si="18"/>
        <v>33.866676391524123</v>
      </c>
      <c r="AB24" s="1">
        <f t="shared" ca="1" si="18"/>
        <v>36.854875781585314</v>
      </c>
      <c r="AC24" s="1">
        <f t="shared" ca="1" si="18"/>
        <v>39.793210759342614</v>
      </c>
      <c r="AD24" s="1">
        <f t="shared" ca="1" si="18"/>
        <v>42.659040998647917</v>
      </c>
      <c r="AE24" s="1">
        <f t="shared" ca="1" si="18"/>
        <v>45.437367028311456</v>
      </c>
      <c r="AF24" s="1">
        <f t="shared" ca="1" si="18"/>
        <v>48.11796481417047</v>
      </c>
      <c r="AG24" s="1">
        <f t="shared" ca="1" si="18"/>
        <v>50.693868027894013</v>
      </c>
      <c r="AH24" s="1">
        <f t="shared" ca="1" si="18"/>
        <v>53.160527759612322</v>
      </c>
      <c r="AI24" s="1">
        <f t="shared" ca="1" si="18"/>
        <v>55.51529430349774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F26" t="s">
        <v>143</v>
      </c>
      <c r="J26" s="8" t="s">
        <v>30</v>
      </c>
      <c r="K26">
        <f ca="1">qa1_/wa</f>
        <v>2.5995767791744488E-6</v>
      </c>
      <c r="L26">
        <f t="shared" ref="L26:AI26" ca="1" si="19">qa1_/wa</f>
        <v>6.6467047219732789E-6</v>
      </c>
      <c r="M26">
        <f t="shared" ca="1" si="19"/>
        <v>1.6756242719688176E-5</v>
      </c>
      <c r="N26">
        <f t="shared" ca="1" si="19"/>
        <v>4.2683380362759028E-5</v>
      </c>
      <c r="O26">
        <f t="shared" ca="1" si="19"/>
        <v>1.1095306061015145E-4</v>
      </c>
      <c r="P26">
        <f t="shared" ca="1" si="19"/>
        <v>3.9919948924642618E-4</v>
      </c>
      <c r="Q26">
        <f t="shared" ca="1" si="19"/>
        <v>3.6432036893824888E-3</v>
      </c>
      <c r="R26">
        <f t="shared" ca="1" si="19"/>
        <v>1.1329653817221601E-2</v>
      </c>
      <c r="S26">
        <f t="shared" ca="1" si="19"/>
        <v>2.871794114644487E-2</v>
      </c>
      <c r="T26">
        <f t="shared" ca="1" si="19"/>
        <v>7.0124601576136231E-2</v>
      </c>
      <c r="U26">
        <f t="shared" ca="1" si="19"/>
        <v>0.1594463576318132</v>
      </c>
      <c r="V26">
        <f t="shared" ca="1" si="19"/>
        <v>0.3158150760443833</v>
      </c>
      <c r="W26">
        <f t="shared" ca="1" si="19"/>
        <v>0.51060182839027102</v>
      </c>
      <c r="X26">
        <f t="shared" ca="1" si="19"/>
        <v>0.67208151305247743</v>
      </c>
      <c r="Y26">
        <f t="shared" ca="1" si="19"/>
        <v>0.76686482841221582</v>
      </c>
      <c r="Z26">
        <f t="shared" ca="1" si="19"/>
        <v>0.81086719818399144</v>
      </c>
      <c r="AA26">
        <f t="shared" ca="1" si="19"/>
        <v>0.82940920284039099</v>
      </c>
      <c r="AB26">
        <f t="shared" ca="1" si="19"/>
        <v>0.83686312174959077</v>
      </c>
      <c r="AC26">
        <f t="shared" ca="1" si="19"/>
        <v>0.83980034470433995</v>
      </c>
      <c r="AD26">
        <f t="shared" ca="1" si="19"/>
        <v>0.84094631973879908</v>
      </c>
      <c r="AE26">
        <f t="shared" ca="1" si="19"/>
        <v>0.84138937423280924</v>
      </c>
      <c r="AF26">
        <f t="shared" ca="1" si="19"/>
        <v>0.84155772670087969</v>
      </c>
      <c r="AG26">
        <f t="shared" ca="1" si="19"/>
        <v>0.84161889847194027</v>
      </c>
      <c r="AH26">
        <f t="shared" ca="1" si="19"/>
        <v>0.84163827780387923</v>
      </c>
      <c r="AI26">
        <f t="shared" ca="1" si="19"/>
        <v>0.84164136523649857</v>
      </c>
      <c r="AM26" s="44"/>
    </row>
    <row r="27" spans="1:39">
      <c r="A27" t="s">
        <v>14</v>
      </c>
      <c r="B27" s="28">
        <f ca="1">fbar*C27</f>
        <v>0.1822534162592212</v>
      </c>
      <c r="C27" s="36">
        <f ca="1">CHOOSE(C$25,E36,E39,1)</f>
        <v>1.871155786060914</v>
      </c>
      <c r="E27" s="42">
        <f ca="1">f1_/(F4/(f1_*365*re*phib))</f>
        <v>218.67965911499297</v>
      </c>
      <c r="F27" s="109">
        <f ca="1">F4/E27</f>
        <v>110.16091386676123</v>
      </c>
      <c r="J27" s="8" t="s">
        <v>31</v>
      </c>
      <c r="K27">
        <f t="shared" ref="K27:AI27" ca="1" si="20">qa2_/wa</f>
        <v>8.9458125790015785E-3</v>
      </c>
      <c r="L27">
        <f t="shared" ca="1" si="20"/>
        <v>9.5648677100375987E-2</v>
      </c>
      <c r="M27">
        <f t="shared" ca="1" si="20"/>
        <v>0.53548176381131485</v>
      </c>
      <c r="N27">
        <f t="shared" ca="1" si="20"/>
        <v>0.70972402489995534</v>
      </c>
      <c r="O27">
        <f t="shared" ca="1" si="20"/>
        <v>0.57271173097936712</v>
      </c>
      <c r="P27">
        <f t="shared" ca="1" si="20"/>
        <v>0.44002212717745237</v>
      </c>
      <c r="Q27">
        <f t="shared" ca="1" si="20"/>
        <v>0.33394009421424836</v>
      </c>
      <c r="R27">
        <f t="shared" ca="1" si="20"/>
        <v>0.25332667090275812</v>
      </c>
      <c r="S27">
        <f t="shared" ca="1" si="20"/>
        <v>0.19305191453869233</v>
      </c>
      <c r="T27">
        <f t="shared" ca="1" si="20"/>
        <v>0.14698993336518515</v>
      </c>
      <c r="U27">
        <f t="shared" ca="1" si="20"/>
        <v>0.11138662791662575</v>
      </c>
      <c r="V27">
        <f t="shared" ca="1" si="20"/>
        <v>8.3797731568296591E-2</v>
      </c>
      <c r="W27">
        <f t="shared" ca="1" si="20"/>
        <v>6.2741893102763069E-2</v>
      </c>
      <c r="X27">
        <f t="shared" ca="1" si="20"/>
        <v>4.7100754943713213E-2</v>
      </c>
      <c r="Y27">
        <f t="shared" ca="1" si="20"/>
        <v>3.5593905571766345E-2</v>
      </c>
      <c r="Z27">
        <f t="shared" ca="1" si="20"/>
        <v>3.5421513056665063E-2</v>
      </c>
      <c r="AA27">
        <f t="shared" ca="1" si="20"/>
        <v>3.5348697477275794E-2</v>
      </c>
      <c r="AB27">
        <f t="shared" ca="1" si="20"/>
        <v>3.5319396570802866E-2</v>
      </c>
      <c r="AC27">
        <f t="shared" ca="1" si="20"/>
        <v>3.5307845955181209E-2</v>
      </c>
      <c r="AD27">
        <f t="shared" ca="1" si="20"/>
        <v>3.5303338712290987E-2</v>
      </c>
      <c r="AE27">
        <f t="shared" ca="1" si="20"/>
        <v>3.5301596025797959E-2</v>
      </c>
      <c r="AF27">
        <f t="shared" ca="1" si="20"/>
        <v>3.5300933821900221E-2</v>
      </c>
      <c r="AG27">
        <f t="shared" ca="1" si="20"/>
        <v>3.5300693204460637E-2</v>
      </c>
      <c r="AH27">
        <f t="shared" ca="1" si="20"/>
        <v>3.530061697616977E-2</v>
      </c>
      <c r="AI27">
        <f t="shared" ca="1" si="20"/>
        <v>3.5300604831792745E-2</v>
      </c>
    </row>
    <row r="28" spans="1:39">
      <c r="A28" t="s">
        <v>15</v>
      </c>
      <c r="B28" s="28">
        <f ca="1">fbar*C28</f>
        <v>7.4081340913800031E-2</v>
      </c>
      <c r="C28" s="36">
        <f ca="1">CHOOSE(C$25,E37,E40,1)</f>
        <v>0.7605768524681612</v>
      </c>
      <c r="E28" s="42">
        <f ca="1">f2_/(F5/(f2_*365*re*phib))</f>
        <v>143.08589391220235</v>
      </c>
      <c r="F28" s="109">
        <f t="shared" ref="F28:F29" ca="1" si="21">F5/E28</f>
        <v>42.512532641473975</v>
      </c>
      <c r="J28" s="8" t="s">
        <v>32</v>
      </c>
      <c r="K28">
        <f t="shared" ref="K28:AI28" ca="1" si="22">qa3_/wa</f>
        <v>2.0896373214239516E-5</v>
      </c>
      <c r="L28">
        <f t="shared" ca="1" si="22"/>
        <v>7.4595342459870344E-5</v>
      </c>
      <c r="M28">
        <f t="shared" ca="1" si="22"/>
        <v>2.6196198576321146E-4</v>
      </c>
      <c r="N28">
        <f t="shared" ca="1" si="22"/>
        <v>9.2165509944936352E-4</v>
      </c>
      <c r="O28">
        <f t="shared" ca="1" si="22"/>
        <v>3.3036920164519826E-3</v>
      </c>
      <c r="P28">
        <f t="shared" ca="1" si="22"/>
        <v>3.0322384520465231E-2</v>
      </c>
      <c r="Q28">
        <f t="shared" ca="1" si="22"/>
        <v>0.47270809038787298</v>
      </c>
      <c r="R28">
        <f t="shared" ca="1" si="22"/>
        <v>0.84837123030912065</v>
      </c>
      <c r="S28">
        <f t="shared" ca="1" si="22"/>
        <v>0.89958365947613639</v>
      </c>
      <c r="T28">
        <f t="shared" ca="1" si="22"/>
        <v>0.8436366143116244</v>
      </c>
      <c r="U28">
        <f t="shared" ca="1" si="22"/>
        <v>0.76211261711490519</v>
      </c>
      <c r="V28">
        <f t="shared" ca="1" si="22"/>
        <v>0.67778084807255756</v>
      </c>
      <c r="W28">
        <f t="shared" ca="1" si="22"/>
        <v>0.59863863459444477</v>
      </c>
      <c r="X28">
        <f t="shared" ca="1" si="22"/>
        <v>0.52985108550457904</v>
      </c>
      <c r="Y28">
        <f t="shared" ca="1" si="22"/>
        <v>0.47202222186377091</v>
      </c>
      <c r="Z28">
        <f t="shared" ca="1" si="22"/>
        <v>0.4697360693131124</v>
      </c>
      <c r="AA28">
        <f t="shared" ca="1" si="22"/>
        <v>0.46877043851150446</v>
      </c>
      <c r="AB28">
        <f t="shared" ca="1" si="22"/>
        <v>0.46838186977329488</v>
      </c>
      <c r="AC28">
        <f t="shared" ca="1" si="22"/>
        <v>0.46822869334710476</v>
      </c>
      <c r="AD28">
        <f t="shared" ca="1" si="22"/>
        <v>0.46816892135048499</v>
      </c>
      <c r="AE28">
        <f t="shared" ca="1" si="22"/>
        <v>0.46814581102479197</v>
      </c>
      <c r="AF28">
        <f t="shared" ca="1" si="22"/>
        <v>0.46813702932606804</v>
      </c>
      <c r="AG28">
        <f t="shared" ca="1" si="22"/>
        <v>0.46813383842086592</v>
      </c>
      <c r="AH28">
        <f t="shared" ca="1" si="22"/>
        <v>0.46813282753300062</v>
      </c>
      <c r="AI28">
        <f t="shared" ca="1" si="22"/>
        <v>0.4681326664825135</v>
      </c>
    </row>
    <row r="29" spans="1:39">
      <c r="A29" t="s">
        <v>19</v>
      </c>
      <c r="B29" s="28">
        <f ca="1">fbar*C29</f>
        <v>3.5869800486329255E-2</v>
      </c>
      <c r="C29" s="36">
        <f ca="1">CHOOSE(C$25,E38,E41,1)</f>
        <v>0.36826736147092498</v>
      </c>
      <c r="E29" s="42">
        <f ca="1">f3_/(F6/(f3_*365*re*phib))</f>
        <v>23.856179102172206</v>
      </c>
      <c r="F29" s="109">
        <f t="shared" ca="1" si="21"/>
        <v>358.54948245293025</v>
      </c>
    </row>
    <row r="30" spans="1:39">
      <c r="A30" t="s">
        <v>95</v>
      </c>
      <c r="B30" s="28">
        <v>9.7401519219783489E-2</v>
      </c>
      <c r="C30" s="36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0.29220455765935049</v>
      </c>
      <c r="G31">
        <f ca="1">SUMPRODUCT(dlz1_,wa,ma)</f>
        <v>-64.907041842856799</v>
      </c>
      <c r="H31">
        <f ca="1">Ro/(reck-1)*phie/phif^2*dphif</f>
        <v>-9257.5691889714708</v>
      </c>
      <c r="J31" s="8" t="s">
        <v>52</v>
      </c>
      <c r="K31">
        <v>0</v>
      </c>
      <c r="L31">
        <f t="shared" ref="L31:AH31" ca="1" si="23">K31*sa-K$7*K18*K$10</f>
        <v>-2.4085978102536995E-6</v>
      </c>
      <c r="M31">
        <f t="shared" ca="1" si="23"/>
        <v>-7.262515245931453E-6</v>
      </c>
      <c r="N31">
        <f t="shared" ca="1" si="23"/>
        <v>-1.7053291458115225E-5</v>
      </c>
      <c r="O31">
        <f t="shared" ca="1" si="23"/>
        <v>-3.7244500251204248E-5</v>
      </c>
      <c r="P31">
        <f t="shared" ca="1" si="23"/>
        <v>-8.0231631599793352E-5</v>
      </c>
      <c r="Q31">
        <f t="shared" ca="1" si="23"/>
        <v>-2.1244660342024951E-4</v>
      </c>
      <c r="R31">
        <f t="shared" ca="1" si="23"/>
        <v>-1.2765041784041926E-3</v>
      </c>
      <c r="S31">
        <f t="shared" ca="1" si="23"/>
        <v>-3.8424115409699732E-3</v>
      </c>
      <c r="T31">
        <f t="shared" ca="1" si="23"/>
        <v>-8.8953954157961618E-3</v>
      </c>
      <c r="U31">
        <f t="shared" ca="1" si="23"/>
        <v>-1.8580363091775499E-2</v>
      </c>
      <c r="V31">
        <f t="shared" ca="1" si="23"/>
        <v>-3.5462898952550732E-2</v>
      </c>
      <c r="W31">
        <f t="shared" ca="1" si="23"/>
        <v>-5.9429251074132494E-2</v>
      </c>
      <c r="X31">
        <f t="shared" ca="1" si="23"/>
        <v>-8.371900227751683E-2</v>
      </c>
      <c r="Y31">
        <f t="shared" ca="1" si="23"/>
        <v>-9.9091053727835554E-2</v>
      </c>
      <c r="Z31">
        <f t="shared" ca="1" si="23"/>
        <v>-0.10228927374563115</v>
      </c>
      <c r="AA31">
        <f t="shared" ca="1" si="23"/>
        <v>-9.6158186903589418E-2</v>
      </c>
      <c r="AB31">
        <f t="shared" ca="1" si="23"/>
        <v>-8.4952179254155741E-2</v>
      </c>
      <c r="AC31">
        <f t="shared" ca="1" si="23"/>
        <v>-7.1955958912764892E-2</v>
      </c>
      <c r="AD31">
        <f t="shared" ca="1" si="23"/>
        <v>-5.9162761748839936E-2</v>
      </c>
      <c r="AE31">
        <f t="shared" ca="1" si="23"/>
        <v>-4.7592954546576194E-2</v>
      </c>
      <c r="AF31">
        <f t="shared" ca="1" si="23"/>
        <v>-3.7653783043589163E-2</v>
      </c>
      <c r="AG31">
        <f t="shared" ca="1" si="23"/>
        <v>-2.9403385902831126E-2</v>
      </c>
      <c r="AH31">
        <f t="shared" ca="1" si="23"/>
        <v>-2.2720264113691782E-2</v>
      </c>
      <c r="AI31">
        <f ca="1">(AH31*sa-AH$7*AH18*AH$10)/oa-AH$7*AH$10*flt1_*sa/oa^2</f>
        <v>-6.9793305118048071E-2</v>
      </c>
    </row>
    <row r="32" spans="1:39">
      <c r="A32" s="12" t="s">
        <v>22</v>
      </c>
      <c r="B32" s="12"/>
      <c r="C32" s="12"/>
      <c r="G32">
        <f ca="1">SUMPRODUCT(dlz2_,wa,ma)</f>
        <v>-89.059738024847903</v>
      </c>
      <c r="H32">
        <f ca="1">Ro/(reck-1)*phie/phif^2*dphif</f>
        <v>-12702.422777374482</v>
      </c>
      <c r="J32" s="8" t="s">
        <v>53</v>
      </c>
      <c r="K32">
        <v>0</v>
      </c>
      <c r="L32">
        <f t="shared" ref="L32:AH32" ca="1" si="24">K32*sa-K$7*K19*K$10</f>
        <v>-8.2886048072663091E-3</v>
      </c>
      <c r="M32">
        <f t="shared" ca="1" si="24"/>
        <v>-8.278122313104895E-2</v>
      </c>
      <c r="N32">
        <f t="shared" ca="1" si="24"/>
        <v>-0.42374046601671672</v>
      </c>
      <c r="O32">
        <f t="shared" ca="1" si="24"/>
        <v>-0.73441861279848175</v>
      </c>
      <c r="P32">
        <f t="shared" ca="1" si="24"/>
        <v>-0.86383080564124959</v>
      </c>
      <c r="Q32">
        <f t="shared" ca="1" si="24"/>
        <v>-0.8711348181267089</v>
      </c>
      <c r="R32">
        <f t="shared" ca="1" si="24"/>
        <v>-0.80960069755899955</v>
      </c>
      <c r="S32">
        <f t="shared" ca="1" si="24"/>
        <v>-0.72070233227710889</v>
      </c>
      <c r="T32">
        <f t="shared" ca="1" si="24"/>
        <v>-0.62317140245211478</v>
      </c>
      <c r="U32">
        <f t="shared" ca="1" si="24"/>
        <v>-0.52307573022828135</v>
      </c>
      <c r="V32">
        <f t="shared" ca="1" si="24"/>
        <v>-0.42222619426233449</v>
      </c>
      <c r="W32">
        <f t="shared" ca="1" si="24"/>
        <v>-0.32555959779721166</v>
      </c>
      <c r="X32">
        <f t="shared" ca="1" si="24"/>
        <v>-0.24153590329775598</v>
      </c>
      <c r="Y32">
        <f t="shared" ca="1" si="24"/>
        <v>-0.17506417049265696</v>
      </c>
      <c r="Z32">
        <f t="shared" ca="1" si="24"/>
        <v>-0.12510696165040266</v>
      </c>
      <c r="AA32">
        <f t="shared" ca="1" si="24"/>
        <v>-8.9007747764851208E-2</v>
      </c>
      <c r="AB32">
        <f t="shared" ca="1" si="24"/>
        <v>-6.3205720400599713E-2</v>
      </c>
      <c r="AC32">
        <f t="shared" ca="1" si="24"/>
        <v>-4.4846264928616465E-2</v>
      </c>
      <c r="AD32">
        <f t="shared" ca="1" si="24"/>
        <v>-3.1806853278704576E-2</v>
      </c>
      <c r="AE32">
        <f t="shared" ca="1" si="24"/>
        <v>-2.2553420912549544E-2</v>
      </c>
      <c r="AF32">
        <f t="shared" ca="1" si="24"/>
        <v>-1.5989344516707304E-2</v>
      </c>
      <c r="AG32">
        <f t="shared" ca="1" si="24"/>
        <v>-1.1334113787092849E-2</v>
      </c>
      <c r="AH32">
        <f t="shared" ca="1" si="24"/>
        <v>-8.0332007409091924E-3</v>
      </c>
      <c r="AI32">
        <f ca="1">(AH32*sa-AH$7*AH19*AH$10)/oa-AH$7*AH$10*flt2_*sa/oa^2</f>
        <v>-1.9523260678213066E-2</v>
      </c>
    </row>
    <row r="33" spans="1:35">
      <c r="A33" s="59" t="s">
        <v>130</v>
      </c>
      <c r="B33" s="60">
        <f ca="1">SUMPRODUCT(lz*wa)</f>
        <v>58.095681956107647</v>
      </c>
      <c r="C33" s="58"/>
      <c r="G33">
        <f ca="1">SUMPRODUCT(dlz3_,wa,ma)</f>
        <v>-140.92520043891474</v>
      </c>
      <c r="H33">
        <f ca="1">Ro/(reck-1)*phie/phif^2*dphif</f>
        <v>-20099.896043506153</v>
      </c>
      <c r="J33" s="8" t="s">
        <v>54</v>
      </c>
      <c r="K33">
        <v>0</v>
      </c>
      <c r="L33">
        <f t="shared" ref="L33:AH33" ca="1" si="25">K33*sa-K$7*K20*K$10</f>
        <v>-1.9361212628636049E-5</v>
      </c>
      <c r="M33">
        <f t="shared" ca="1" si="25"/>
        <v>-7.5186634548854184E-5</v>
      </c>
      <c r="N33">
        <f t="shared" ca="1" si="25"/>
        <v>-2.3546409809836586E-4</v>
      </c>
      <c r="O33">
        <f t="shared" ca="1" si="25"/>
        <v>-6.9517751174799256E-4</v>
      </c>
      <c r="P33">
        <f t="shared" ca="1" si="25"/>
        <v>-2.0457248067517575E-3</v>
      </c>
      <c r="Q33">
        <f t="shared" ca="1" si="25"/>
        <v>-1.2811287465993176E-2</v>
      </c>
      <c r="R33">
        <f t="shared" ca="1" si="25"/>
        <v>-0.15362906333809837</v>
      </c>
      <c r="S33">
        <f t="shared" ca="1" si="25"/>
        <v>-0.33489573265371658</v>
      </c>
      <c r="T33">
        <f t="shared" ca="1" si="25"/>
        <v>-0.45258083495280554</v>
      </c>
      <c r="U33">
        <f t="shared" ca="1" si="25"/>
        <v>-0.50027399892653823</v>
      </c>
      <c r="V33">
        <f t="shared" ca="1" si="25"/>
        <v>-0.49010529558615445</v>
      </c>
      <c r="W33">
        <f t="shared" ca="1" si="25"/>
        <v>-0.43821980876960243</v>
      </c>
      <c r="X33">
        <f t="shared" ca="1" si="25"/>
        <v>-0.36594122407934071</v>
      </c>
      <c r="Y33">
        <f t="shared" ca="1" si="25"/>
        <v>-0.29208938362019371</v>
      </c>
      <c r="Z33">
        <f t="shared" ca="1" si="25"/>
        <v>-0.22613048162374899</v>
      </c>
      <c r="AA33">
        <f t="shared" ca="1" si="25"/>
        <v>-0.17301471637313012</v>
      </c>
      <c r="AB33">
        <f t="shared" ca="1" si="25"/>
        <v>-0.13128844778450352</v>
      </c>
      <c r="AC33">
        <f t="shared" ca="1" si="25"/>
        <v>-9.8997648648158201E-2</v>
      </c>
      <c r="AD33">
        <f t="shared" ca="1" si="25"/>
        <v>-7.4264212808354352E-2</v>
      </c>
      <c r="AE33">
        <f t="shared" ca="1" si="25"/>
        <v>-5.5466103112587817E-2</v>
      </c>
      <c r="AF33">
        <f t="shared" ca="1" si="25"/>
        <v>-4.1268395070763068E-2</v>
      </c>
      <c r="AG33">
        <f t="shared" ca="1" si="25"/>
        <v>-3.0601622826571875E-2</v>
      </c>
      <c r="AH33">
        <f t="shared" ca="1" si="25"/>
        <v>-2.2623907435501692E-2</v>
      </c>
      <c r="AI33">
        <f ca="1">(AH33*sa-AH$7*AH20*AH$10)/oa-AH$7*AH$10*flt3_*sa/oa^2</f>
        <v>-6.2228327530949611E-2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25.246494380992569</v>
      </c>
      <c r="F35" s="37"/>
      <c r="G35" s="1">
        <f ca="1">SUM(dqa11_)</f>
        <v>859.47736834657724</v>
      </c>
      <c r="H35" s="1">
        <f ca="1">SUM(dqa12_)</f>
        <v>865.49193165533507</v>
      </c>
      <c r="I35" s="11">
        <f ca="1">SUM(dqa13_)</f>
        <v>860.7741716445496</v>
      </c>
      <c r="J35" s="8" t="s">
        <v>62</v>
      </c>
      <c r="K35">
        <f ca="1">flt1_*qa1_+lz*wa*flt1_^2/za*(sa-oa/za)</f>
        <v>2.6178376124251368E-13</v>
      </c>
      <c r="L35">
        <f t="shared" ref="L35:AI35" ca="1" si="26">flt1_*qa1_+lz*wa*flt1_^2/za*(sa-oa/za)</f>
        <v>1.2834152179789823E-11</v>
      </c>
      <c r="M35">
        <f t="shared" ca="1" si="26"/>
        <v>2.7900568441971306E-10</v>
      </c>
      <c r="N35">
        <f t="shared" ca="1" si="26"/>
        <v>4.3233162588863831E-9</v>
      </c>
      <c r="O35">
        <f t="shared" ca="1" si="26"/>
        <v>5.5817794047456594E-8</v>
      </c>
      <c r="P35">
        <f t="shared" ca="1" si="26"/>
        <v>1.1980766713303502E-6</v>
      </c>
      <c r="Q35">
        <f t="shared" ca="1" si="26"/>
        <v>1.5148508129342E-4</v>
      </c>
      <c r="R35">
        <f t="shared" ca="1" si="26"/>
        <v>2.0763305561143064E-3</v>
      </c>
      <c r="S35">
        <f t="shared" ca="1" si="26"/>
        <v>1.7843341045606538E-2</v>
      </c>
      <c r="T35">
        <f t="shared" ca="1" si="26"/>
        <v>0.13643760123237916</v>
      </c>
      <c r="U35">
        <f t="shared" ca="1" si="26"/>
        <v>0.87834652709638361</v>
      </c>
      <c r="V35">
        <f t="shared" ca="1" si="26"/>
        <v>4.2055306144096276</v>
      </c>
      <c r="W35">
        <f t="shared" ca="1" si="26"/>
        <v>13.182912520889156</v>
      </c>
      <c r="X35">
        <f t="shared" ca="1" si="26"/>
        <v>26.800567330399932</v>
      </c>
      <c r="Y35">
        <f t="shared" ca="1" si="26"/>
        <v>39.99079072913667</v>
      </c>
      <c r="Z35">
        <f t="shared" ca="1" si="26"/>
        <v>50.292586504174508</v>
      </c>
      <c r="AA35">
        <f t="shared" ca="1" si="26"/>
        <v>58.269025036599722</v>
      </c>
      <c r="AB35">
        <f t="shared" ca="1" si="26"/>
        <v>64.893599568910204</v>
      </c>
      <c r="AC35">
        <f t="shared" ca="1" si="26"/>
        <v>70.783733879914877</v>
      </c>
      <c r="AD35">
        <f t="shared" ca="1" si="26"/>
        <v>76.242191303709248</v>
      </c>
      <c r="AE35">
        <f t="shared" ca="1" si="26"/>
        <v>81.401681214685382</v>
      </c>
      <c r="AF35">
        <f t="shared" ca="1" si="26"/>
        <v>86.316274169893731</v>
      </c>
      <c r="AG35">
        <f t="shared" ca="1" si="26"/>
        <v>91.006565360647159</v>
      </c>
      <c r="AH35">
        <f t="shared" ca="1" si="26"/>
        <v>95.480037608194536</v>
      </c>
      <c r="AI35">
        <f t="shared" ca="1" si="26"/>
        <v>99.577015961490858</v>
      </c>
    </row>
    <row r="36" spans="1:35">
      <c r="A36" t="s">
        <v>33</v>
      </c>
      <c r="B36" s="1">
        <f ca="1">SUMPRODUCT(lz,ta1_)</f>
        <v>0.31619348204512848</v>
      </c>
      <c r="C36" s="29">
        <f ca="1">B11/(phi_t1/SUM(B$36:B$38))</f>
        <v>2.5577573080063725</v>
      </c>
      <c r="E36" s="38">
        <f ca="1">C36/AVERAGE(C$36:C$38)</f>
        <v>1.871155786060914</v>
      </c>
      <c r="G36" s="1">
        <f ca="1">SUM(dqa21_)</f>
        <v>865.49193165533507</v>
      </c>
      <c r="H36" s="1">
        <f ca="1">SUM(dqa22_)</f>
        <v>10.65922541138462</v>
      </c>
      <c r="I36" s="11">
        <f ca="1">SUM(dqa23_)</f>
        <v>863.6833303465653</v>
      </c>
      <c r="J36" s="8" t="s">
        <v>63</v>
      </c>
      <c r="K36">
        <f t="shared" ref="K36:AI36" ca="1" si="27">flt2_*qa2_+lz*wa*flt2_^2/za*(sa-oa/za)</f>
        <v>3.1001092264978919E-6</v>
      </c>
      <c r="L36">
        <f t="shared" ca="1" si="27"/>
        <v>2.6577391173855519E-3</v>
      </c>
      <c r="M36">
        <f t="shared" ca="1" si="27"/>
        <v>0.28493718984172256</v>
      </c>
      <c r="N36">
        <f t="shared" ca="1" si="27"/>
        <v>1.1953040928317749</v>
      </c>
      <c r="O36">
        <f t="shared" ca="1" si="27"/>
        <v>1.4871893049342537</v>
      </c>
      <c r="P36">
        <f t="shared" ca="1" si="27"/>
        <v>1.4556390247489888</v>
      </c>
      <c r="Q36">
        <f t="shared" ca="1" si="27"/>
        <v>1.2727411588970061</v>
      </c>
      <c r="R36">
        <f t="shared" ca="1" si="27"/>
        <v>1.0380661918621181</v>
      </c>
      <c r="S36">
        <f t="shared" ca="1" si="27"/>
        <v>0.80633924939189128</v>
      </c>
      <c r="T36">
        <f t="shared" ca="1" si="27"/>
        <v>0.59947137171394627</v>
      </c>
      <c r="U36">
        <f t="shared" ca="1" si="27"/>
        <v>0.4286499682619182</v>
      </c>
      <c r="V36">
        <f t="shared" ca="1" si="27"/>
        <v>0.29608718244795973</v>
      </c>
      <c r="W36">
        <f t="shared" ca="1" si="27"/>
        <v>0.19904985974391601</v>
      </c>
      <c r="X36">
        <f t="shared" ca="1" si="27"/>
        <v>0.13163028603540702</v>
      </c>
      <c r="Y36">
        <f t="shared" ca="1" si="27"/>
        <v>8.61536417455354E-2</v>
      </c>
      <c r="Z36">
        <f t="shared" ca="1" si="27"/>
        <v>9.5970713541415162E-2</v>
      </c>
      <c r="AA36">
        <f t="shared" ca="1" si="27"/>
        <v>0.10583928152776489</v>
      </c>
      <c r="AB36">
        <f t="shared" ca="1" si="27"/>
        <v>0.11558981124298973</v>
      </c>
      <c r="AC36">
        <f t="shared" ca="1" si="27"/>
        <v>0.12511915921301275</v>
      </c>
      <c r="AD36">
        <f t="shared" ca="1" si="27"/>
        <v>0.13436630683884107</v>
      </c>
      <c r="AE36">
        <f t="shared" ca="1" si="27"/>
        <v>0.14329400131646206</v>
      </c>
      <c r="AF36">
        <f t="shared" ca="1" si="27"/>
        <v>0.15187883257732104</v>
      </c>
      <c r="AG36">
        <f t="shared" ca="1" si="27"/>
        <v>0.16010623088781004</v>
      </c>
      <c r="AH36">
        <f t="shared" ca="1" si="27"/>
        <v>0.16796787011663872</v>
      </c>
      <c r="AI36">
        <f t="shared" ca="1" si="27"/>
        <v>0.17517384243931819</v>
      </c>
    </row>
    <row r="37" spans="1:35">
      <c r="A37" t="s">
        <v>34</v>
      </c>
      <c r="B37" s="1">
        <f ca="1">SUMPRODUCT(lz,ta2_)</f>
        <v>1.6660340489235328</v>
      </c>
      <c r="C37" s="29">
        <f ca="1">B12/(phi_t2/SUM(B$36:B$38))</f>
        <v>1.0396627673616876</v>
      </c>
      <c r="E37" s="38">
        <f ca="1">C37/AVERAGE(C$36:C$38)</f>
        <v>0.7605768524681612</v>
      </c>
      <c r="G37" s="1">
        <f ca="1">SUM(dqa31_)</f>
        <v>860.7741716445496</v>
      </c>
      <c r="H37" s="1">
        <f ca="1">SUM(dqa32_)</f>
        <v>863.6833303465653</v>
      </c>
      <c r="I37" s="1">
        <f ca="1">SUM(dqa33_)</f>
        <v>382.68640954856875</v>
      </c>
      <c r="J37" s="8" t="s">
        <v>64</v>
      </c>
      <c r="K37">
        <f t="shared" ref="K37:AI37" ca="1" si="28">flt3_*qa3_+lz*wa*flt3_^2/za*(sa-oa/za)</f>
        <v>1.6915281821644378E-11</v>
      </c>
      <c r="L37">
        <f t="shared" ca="1" si="28"/>
        <v>1.6165079216655644E-9</v>
      </c>
      <c r="M37">
        <f t="shared" ca="1" si="28"/>
        <v>6.8192453164417203E-8</v>
      </c>
      <c r="N37">
        <f t="shared" ca="1" si="28"/>
        <v>2.0157480747298503E-6</v>
      </c>
      <c r="O37">
        <f t="shared" ca="1" si="28"/>
        <v>4.9487236617030083E-5</v>
      </c>
      <c r="P37">
        <f t="shared" ca="1" si="28"/>
        <v>6.9124397568884758E-3</v>
      </c>
      <c r="Q37">
        <f t="shared" ca="1" si="28"/>
        <v>2.550286833738665</v>
      </c>
      <c r="R37">
        <f t="shared" ca="1" si="28"/>
        <v>11.642200655035795</v>
      </c>
      <c r="S37">
        <f t="shared" ca="1" si="28"/>
        <v>17.508651170507473</v>
      </c>
      <c r="T37">
        <f t="shared" ca="1" si="28"/>
        <v>19.747135307941935</v>
      </c>
      <c r="U37">
        <f t="shared" ca="1" si="28"/>
        <v>20.066655102241938</v>
      </c>
      <c r="V37">
        <f t="shared" ca="1" si="28"/>
        <v>19.370180535196106</v>
      </c>
      <c r="W37">
        <f t="shared" ca="1" si="28"/>
        <v>18.120748061599638</v>
      </c>
      <c r="X37">
        <f t="shared" ca="1" si="28"/>
        <v>16.657420357673434</v>
      </c>
      <c r="Y37">
        <f t="shared" ca="1" si="28"/>
        <v>15.151207349906192</v>
      </c>
      <c r="Z37">
        <f t="shared" ca="1" si="28"/>
        <v>16.877663566204188</v>
      </c>
      <c r="AA37">
        <f t="shared" ca="1" si="28"/>
        <v>18.61317603878727</v>
      </c>
      <c r="AB37">
        <f t="shared" ca="1" si="28"/>
        <v>20.327929988749567</v>
      </c>
      <c r="AC37">
        <f t="shared" ca="1" si="28"/>
        <v>22.003786331882129</v>
      </c>
      <c r="AD37">
        <f t="shared" ca="1" si="28"/>
        <v>23.630014175946293</v>
      </c>
      <c r="AE37">
        <f t="shared" ca="1" si="28"/>
        <v>25.200062144279077</v>
      </c>
      <c r="AF37">
        <f t="shared" ca="1" si="28"/>
        <v>26.709813280294991</v>
      </c>
      <c r="AG37">
        <f t="shared" ca="1" si="28"/>
        <v>28.156705312098701</v>
      </c>
      <c r="AH37">
        <f t="shared" ca="1" si="28"/>
        <v>29.539273984215377</v>
      </c>
      <c r="AI37">
        <f t="shared" ca="1" si="28"/>
        <v>30.806535339702524</v>
      </c>
    </row>
    <row r="38" spans="1:35">
      <c r="A38" t="s">
        <v>35</v>
      </c>
      <c r="B38" s="1">
        <f ca="1">SUMPRODUCT(lz,ta3_)</f>
        <v>1.1249123121459588</v>
      </c>
      <c r="C38" s="29">
        <f ca="1">B13/(phi_t3/SUM(B$36:B$38))</f>
        <v>0.50339931186885079</v>
      </c>
      <c r="E38" s="38">
        <f ca="1">C38/AVERAGE(C$36:C$38)</f>
        <v>0.36826736147092498</v>
      </c>
      <c r="G38" t="s">
        <v>69</v>
      </c>
      <c r="J38" s="8" t="s">
        <v>60</v>
      </c>
      <c r="K38">
        <f t="shared" ref="K38:AI38" ca="1" si="29">flt1_*qa1_+lz*wa*flt2_*flt1_/za*(sa-oa/za)</f>
        <v>-8.5622178309191803E-10</v>
      </c>
      <c r="L38">
        <f t="shared" ca="1" si="29"/>
        <v>-1.3303335470867537E-7</v>
      </c>
      <c r="M38">
        <f t="shared" ca="1" si="29"/>
        <v>-4.9170483229575024E-6</v>
      </c>
      <c r="N38">
        <f t="shared" ca="1" si="29"/>
        <v>-2.9663913752167776E-5</v>
      </c>
      <c r="O38">
        <f t="shared" ca="1" si="29"/>
        <v>-8.9760344554446533E-5</v>
      </c>
      <c r="P38">
        <f t="shared" ca="1" si="29"/>
        <v>-3.1950275560177342E-4</v>
      </c>
      <c r="Q38">
        <f t="shared" ca="1" si="29"/>
        <v>-2.5018733400994824E-3</v>
      </c>
      <c r="R38">
        <f t="shared" ca="1" si="29"/>
        <v>-4.7139871716563742E-3</v>
      </c>
      <c r="S38">
        <f t="shared" ca="1" si="29"/>
        <v>5.4848356370383947E-3</v>
      </c>
      <c r="T38">
        <f t="shared" ca="1" si="29"/>
        <v>0.12205883702755643</v>
      </c>
      <c r="U38">
        <f t="shared" ca="1" si="29"/>
        <v>0.89856871586721487</v>
      </c>
      <c r="V38">
        <f t="shared" ca="1" si="29"/>
        <v>4.3907594937747731</v>
      </c>
      <c r="W38">
        <f t="shared" ca="1" si="29"/>
        <v>13.712363019620193</v>
      </c>
      <c r="X38">
        <f t="shared" ca="1" si="29"/>
        <v>27.642328267471409</v>
      </c>
      <c r="Y38">
        <f t="shared" ca="1" si="29"/>
        <v>40.915052131953438</v>
      </c>
      <c r="Z38">
        <f t="shared" ca="1" si="29"/>
        <v>51.116898659980556</v>
      </c>
      <c r="AA38">
        <f t="shared" ca="1" si="29"/>
        <v>58.940195450335807</v>
      </c>
      <c r="AB38">
        <f t="shared" ca="1" si="29"/>
        <v>65.417256091904832</v>
      </c>
      <c r="AC38">
        <f t="shared" ca="1" si="29"/>
        <v>71.183576592243952</v>
      </c>
      <c r="AD38">
        <f t="shared" ca="1" si="29"/>
        <v>76.543681819329734</v>
      </c>
      <c r="AE38">
        <f t="shared" ca="1" si="29"/>
        <v>81.627074283474485</v>
      </c>
      <c r="AF38">
        <f t="shared" ca="1" si="29"/>
        <v>86.483668900799103</v>
      </c>
      <c r="AG38">
        <f t="shared" ca="1" si="29"/>
        <v>91.130205092626554</v>
      </c>
      <c r="AH38">
        <f t="shared" ca="1" si="29"/>
        <v>95.570925546727196</v>
      </c>
      <c r="AI38">
        <f t="shared" ca="1" si="29"/>
        <v>99.799493755024841</v>
      </c>
    </row>
    <row r="39" spans="1:35">
      <c r="A39" s="1" t="s">
        <v>36</v>
      </c>
      <c r="B39" s="1">
        <f ca="1">SUMPRODUCT(lz,qa1_)</f>
        <v>17.672744874763779</v>
      </c>
      <c r="C39" s="23">
        <f ca="1">B4/(phi_q1/SUM(B$39:B$41))</f>
        <v>2.0677754915441589</v>
      </c>
      <c r="D39" s="21"/>
      <c r="E39" s="39">
        <f ca="1">C39/AVERAGE(C$39:C$41)</f>
        <v>1.7069432810430751</v>
      </c>
      <c r="G39" s="1">
        <f ca="1">re*phi_q1+f1_*phi_q1*$H31+f1_*re*G35</f>
        <v>1273925.3620558758</v>
      </c>
      <c r="H39" s="1">
        <f ca="1">re*phi_q1+f1_*phi_q1*$H32+f1_*re*H35</f>
        <v>1271028.3010753633</v>
      </c>
      <c r="I39" s="1">
        <f ca="1">re*phi_q1+f1_*phi_q1*$H33+f1_*re*I35</f>
        <v>1240770.8045792182</v>
      </c>
      <c r="J39" s="8" t="s">
        <v>66</v>
      </c>
      <c r="K39">
        <f t="shared" ref="K39:AI39" ca="1" si="30">flt1_*qa1_+lz*wa*flt3_*flt1_/za*(sa-oa/za)</f>
        <v>-1.4904841841588169E-12</v>
      </c>
      <c r="L39">
        <f t="shared" ca="1" si="30"/>
        <v>-8.1688175001219902E-11</v>
      </c>
      <c r="M39">
        <f t="shared" ca="1" si="30"/>
        <v>-1.9727883345450166E-9</v>
      </c>
      <c r="N39">
        <f t="shared" ca="1" si="30"/>
        <v>-3.2422107091917556E-8</v>
      </c>
      <c r="O39">
        <f t="shared" ca="1" si="30"/>
        <v>-4.4498411096661207E-7</v>
      </c>
      <c r="P39">
        <f t="shared" ca="1" si="30"/>
        <v>-2.0630608184205672E-5</v>
      </c>
      <c r="Q39">
        <f t="shared" ca="1" si="30"/>
        <v>-3.6166317342278872E-3</v>
      </c>
      <c r="R39">
        <f t="shared" ca="1" si="30"/>
        <v>-2.1410645953703854E-2</v>
      </c>
      <c r="S39">
        <f t="shared" ca="1" si="30"/>
        <v>-4.7648890827987296E-2</v>
      </c>
      <c r="T39">
        <f t="shared" ca="1" si="30"/>
        <v>-8.2589294642592681E-3</v>
      </c>
      <c r="U39">
        <f t="shared" ca="1" si="30"/>
        <v>0.62476143751510516</v>
      </c>
      <c r="V39">
        <f t="shared" ca="1" si="30"/>
        <v>3.9165586219376225</v>
      </c>
      <c r="W39">
        <f t="shared" ca="1" si="30"/>
        <v>13.078837279326043</v>
      </c>
      <c r="X39">
        <f t="shared" ca="1" si="30"/>
        <v>26.992131656852301</v>
      </c>
      <c r="Y39">
        <f t="shared" ca="1" si="30"/>
        <v>40.3634455587313</v>
      </c>
      <c r="Z39">
        <f t="shared" ca="1" si="30"/>
        <v>50.655214785749038</v>
      </c>
      <c r="AA39">
        <f t="shared" ca="1" si="30"/>
        <v>58.573850760872716</v>
      </c>
      <c r="AB39">
        <f t="shared" ca="1" si="30"/>
        <v>65.134332051914271</v>
      </c>
      <c r="AC39">
        <f t="shared" ca="1" si="30"/>
        <v>70.968409581844057</v>
      </c>
      <c r="AD39">
        <f t="shared" ca="1" si="30"/>
        <v>76.381693356974282</v>
      </c>
      <c r="AE39">
        <f t="shared" ca="1" si="30"/>
        <v>81.506045174035265</v>
      </c>
      <c r="AF39">
        <f t="shared" ca="1" si="30"/>
        <v>86.393803634083852</v>
      </c>
      <c r="AG39">
        <f t="shared" ca="1" si="30"/>
        <v>91.063835049488802</v>
      </c>
      <c r="AH39">
        <f t="shared" ca="1" si="30"/>
        <v>95.522138011108851</v>
      </c>
      <c r="AI39">
        <f t="shared" ca="1" si="30"/>
        <v>99.680070892166597</v>
      </c>
    </row>
    <row r="40" spans="1:35">
      <c r="A40" s="1" t="s">
        <v>37</v>
      </c>
      <c r="B40" s="1">
        <f ca="1">SUMPRODUCT(lz,qa2_)</f>
        <v>10.978644746676354</v>
      </c>
      <c r="C40" s="23">
        <f ca="1">B5/(phi_q2/SUM(B$39:B$41))</f>
        <v>1.2413699973953998</v>
      </c>
      <c r="D40" s="21"/>
      <c r="E40" s="39">
        <f ca="1">C40/AVERAGE(C$39:C$41)</f>
        <v>1.0247476986779469</v>
      </c>
      <c r="G40" s="1">
        <f ca="1">re*phi_q1+f1_*phi_q1*$H32+f1_*re*G36</f>
        <v>1271028.3010753633</v>
      </c>
      <c r="H40" s="1">
        <f ca="1">re*phi_q2+f2_*phi_q2*$H32+f2_*re*H36</f>
        <v>77686.60589577374</v>
      </c>
      <c r="I40" s="1">
        <f ca="1">re*phi_q3+f3_*phi_q3*$H33+f3_*re*I36</f>
        <v>447183.04105360556</v>
      </c>
      <c r="J40" s="8" t="s">
        <v>65</v>
      </c>
      <c r="K40">
        <f t="shared" ref="K40:AI40" ca="1" si="31">flt1_*qa1_+lz*wa*flt1_*flt2_/za*(sa-oa/za)</f>
        <v>-8.5622178309191793E-10</v>
      </c>
      <c r="L40">
        <f t="shared" ca="1" si="31"/>
        <v>-1.3303335470867537E-7</v>
      </c>
      <c r="M40">
        <f t="shared" ca="1" si="31"/>
        <v>-4.9170483229575033E-6</v>
      </c>
      <c r="N40">
        <f t="shared" ca="1" si="31"/>
        <v>-2.9663913752167776E-5</v>
      </c>
      <c r="O40">
        <f t="shared" ca="1" si="31"/>
        <v>-8.9760344554446533E-5</v>
      </c>
      <c r="P40">
        <f t="shared" ca="1" si="31"/>
        <v>-3.1950275560177336E-4</v>
      </c>
      <c r="Q40">
        <f t="shared" ca="1" si="31"/>
        <v>-2.5018733400994828E-3</v>
      </c>
      <c r="R40">
        <f t="shared" ca="1" si="31"/>
        <v>-4.7139871716563742E-3</v>
      </c>
      <c r="S40">
        <f t="shared" ca="1" si="31"/>
        <v>5.4848356370383947E-3</v>
      </c>
      <c r="T40">
        <f t="shared" ca="1" si="31"/>
        <v>0.12205883702755643</v>
      </c>
      <c r="U40">
        <f t="shared" ca="1" si="31"/>
        <v>0.89856871586721487</v>
      </c>
      <c r="V40">
        <f t="shared" ca="1" si="31"/>
        <v>4.3907594937747731</v>
      </c>
      <c r="W40">
        <f t="shared" ca="1" si="31"/>
        <v>13.712363019620193</v>
      </c>
      <c r="X40">
        <f t="shared" ca="1" si="31"/>
        <v>27.642328267471409</v>
      </c>
      <c r="Y40">
        <f t="shared" ca="1" si="31"/>
        <v>40.915052131953438</v>
      </c>
      <c r="Z40">
        <f t="shared" ca="1" si="31"/>
        <v>51.116898659980556</v>
      </c>
      <c r="AA40">
        <f t="shared" ca="1" si="31"/>
        <v>58.940195450335807</v>
      </c>
      <c r="AB40">
        <f t="shared" ca="1" si="31"/>
        <v>65.417256091904832</v>
      </c>
      <c r="AC40">
        <f t="shared" ca="1" si="31"/>
        <v>71.183576592243952</v>
      </c>
      <c r="AD40">
        <f t="shared" ca="1" si="31"/>
        <v>76.543681819329734</v>
      </c>
      <c r="AE40">
        <f t="shared" ca="1" si="31"/>
        <v>81.627074283474485</v>
      </c>
      <c r="AF40">
        <f t="shared" ca="1" si="31"/>
        <v>86.483668900799103</v>
      </c>
      <c r="AG40">
        <f t="shared" ca="1" si="31"/>
        <v>91.130205092626554</v>
      </c>
      <c r="AH40">
        <f t="shared" ca="1" si="31"/>
        <v>95.570925546727196</v>
      </c>
      <c r="AI40">
        <f t="shared" ca="1" si="31"/>
        <v>99.799493755024841</v>
      </c>
    </row>
    <row r="41" spans="1:35">
      <c r="A41" s="1" t="s">
        <v>38</v>
      </c>
      <c r="B41" s="1">
        <f ca="1">SUMPRODUCT(lz,qa3_)</f>
        <v>31.883412128347569</v>
      </c>
      <c r="C41" s="23">
        <f ca="1">B6/(phi_q3/SUM(B$39:B$41))</f>
        <v>0.32502709519092365</v>
      </c>
      <c r="D41" s="21"/>
      <c r="E41" s="39">
        <f ca="1">C41/AVERAGE(C$39:C$41)</f>
        <v>0.26830902027897785</v>
      </c>
      <c r="G41" s="1">
        <f ca="1">re*phi_q1+f1_*phi_q1*$H33+f1_*re*G37</f>
        <v>1240770.8045792182</v>
      </c>
      <c r="H41" s="1">
        <f ca="1">re*phi_q3+f3_*phi_q3*$H33+f3_*re*H37</f>
        <v>447183.04105360556</v>
      </c>
      <c r="I41" s="1">
        <f ca="1">re*phi_q3+f1_*phi_q3*$H33+f3_*re*I37</f>
        <v>224331.69069900742</v>
      </c>
      <c r="J41" s="8" t="s">
        <v>67</v>
      </c>
      <c r="K41">
        <f t="shared" ref="K41:AI41" ca="1" si="32">flt1_*qa1_+lz*wa*flt3_*flt2_/za*(sa-oa/za)</f>
        <v>-6.8862266490111146E-9</v>
      </c>
      <c r="L41">
        <f t="shared" ca="1" si="32"/>
        <v>-1.4932465625294088E-6</v>
      </c>
      <c r="M41">
        <f t="shared" ca="1" si="32"/>
        <v>-7.6877967795568338E-5</v>
      </c>
      <c r="N41">
        <f t="shared" ca="1" si="32"/>
        <v>-6.4065370733325992E-4</v>
      </c>
      <c r="O41">
        <f t="shared" ca="1" si="32"/>
        <v>-2.6747735413164132E-3</v>
      </c>
      <c r="P41">
        <f t="shared" ca="1" si="32"/>
        <v>-2.438041616446128E-2</v>
      </c>
      <c r="Q41">
        <f t="shared" ca="1" si="32"/>
        <v>-0.34789164335286565</v>
      </c>
      <c r="R41">
        <f t="shared" ca="1" si="32"/>
        <v>-0.52987368443967231</v>
      </c>
      <c r="S41">
        <f t="shared" ca="1" si="32"/>
        <v>-0.43477655657541986</v>
      </c>
      <c r="T41">
        <f t="shared" ca="1" si="32"/>
        <v>-0.18124318433480491</v>
      </c>
      <c r="U41">
        <f t="shared" ca="1" si="32"/>
        <v>0.72141830341553315</v>
      </c>
      <c r="V41">
        <f t="shared" ca="1" si="32"/>
        <v>4.3140842515437088</v>
      </c>
      <c r="W41">
        <f t="shared" ca="1" si="32"/>
        <v>13.69957442914181</v>
      </c>
      <c r="X41">
        <f t="shared" ca="1" si="32"/>
        <v>27.65575346102451</v>
      </c>
      <c r="Y41">
        <f t="shared" ca="1" si="32"/>
        <v>40.932348844912511</v>
      </c>
      <c r="Z41">
        <f t="shared" ca="1" si="32"/>
        <v>51.132739530642581</v>
      </c>
      <c r="AA41">
        <f t="shared" ca="1" si="32"/>
        <v>58.953186857078961</v>
      </c>
      <c r="AB41">
        <f t="shared" ca="1" si="32"/>
        <v>65.427416087982706</v>
      </c>
      <c r="AC41">
        <f t="shared" ca="1" si="32"/>
        <v>71.191340939182481</v>
      </c>
      <c r="AD41">
        <f t="shared" ca="1" si="32"/>
        <v>76.549538183906023</v>
      </c>
      <c r="AE41">
        <f t="shared" ca="1" si="32"/>
        <v>81.63145301042951</v>
      </c>
      <c r="AF41">
        <f t="shared" ca="1" si="32"/>
        <v>86.486921039538714</v>
      </c>
      <c r="AG41">
        <f t="shared" ca="1" si="32"/>
        <v>91.132607200895961</v>
      </c>
      <c r="AH41">
        <f t="shared" ca="1" si="32"/>
        <v>95.572691353056371</v>
      </c>
      <c r="AI41">
        <f t="shared" ca="1" si="32"/>
        <v>99.803816144030435</v>
      </c>
    </row>
    <row r="42" spans="1:35">
      <c r="A42" s="1" t="s">
        <v>96</v>
      </c>
      <c r="B42" s="1">
        <f ca="1">SUMPRODUCT(lz/SUM(lz),len,ta1_)</f>
        <v>7.3970837805929515</v>
      </c>
      <c r="J42" s="8" t="s">
        <v>68</v>
      </c>
      <c r="K42">
        <f t="shared" ref="K42:AI42" ca="1" si="33">flt1_*qa1_+lz*wa*flt1_*flt3_/za*(sa-oa/za)</f>
        <v>-1.4904841841588169E-12</v>
      </c>
      <c r="L42">
        <f t="shared" ca="1" si="33"/>
        <v>-8.1688175001219902E-11</v>
      </c>
      <c r="M42">
        <f t="shared" ca="1" si="33"/>
        <v>-1.9727883345450166E-9</v>
      </c>
      <c r="N42">
        <f t="shared" ca="1" si="33"/>
        <v>-3.2422107091917556E-8</v>
      </c>
      <c r="O42">
        <f t="shared" ca="1" si="33"/>
        <v>-4.4498411096661207E-7</v>
      </c>
      <c r="P42">
        <f t="shared" ca="1" si="33"/>
        <v>-2.0630608184205668E-5</v>
      </c>
      <c r="Q42">
        <f t="shared" ca="1" si="33"/>
        <v>-3.6166317342278872E-3</v>
      </c>
      <c r="R42">
        <f t="shared" ca="1" si="33"/>
        <v>-2.1410645953703854E-2</v>
      </c>
      <c r="S42">
        <f t="shared" ca="1" si="33"/>
        <v>-4.764889082798731E-2</v>
      </c>
      <c r="T42">
        <f t="shared" ca="1" si="33"/>
        <v>-8.2589294642592681E-3</v>
      </c>
      <c r="U42">
        <f t="shared" ca="1" si="33"/>
        <v>0.62476143751510516</v>
      </c>
      <c r="V42">
        <f t="shared" ca="1" si="33"/>
        <v>3.9165586219376225</v>
      </c>
      <c r="W42">
        <f t="shared" ca="1" si="33"/>
        <v>13.078837279326043</v>
      </c>
      <c r="X42">
        <f t="shared" ca="1" si="33"/>
        <v>26.992131656852301</v>
      </c>
      <c r="Y42">
        <f t="shared" ca="1" si="33"/>
        <v>40.3634455587313</v>
      </c>
      <c r="Z42">
        <f t="shared" ca="1" si="33"/>
        <v>50.655214785749038</v>
      </c>
      <c r="AA42">
        <f t="shared" ca="1" si="33"/>
        <v>58.573850760872716</v>
      </c>
      <c r="AB42">
        <f t="shared" ca="1" si="33"/>
        <v>65.134332051914271</v>
      </c>
      <c r="AC42">
        <f t="shared" ca="1" si="33"/>
        <v>70.968409581844057</v>
      </c>
      <c r="AD42">
        <f t="shared" ca="1" si="33"/>
        <v>76.381693356974282</v>
      </c>
      <c r="AE42">
        <f t="shared" ca="1" si="33"/>
        <v>81.506045174035265</v>
      </c>
      <c r="AF42">
        <f t="shared" ca="1" si="33"/>
        <v>86.393803634083852</v>
      </c>
      <c r="AG42">
        <f t="shared" ca="1" si="33"/>
        <v>91.063835049488802</v>
      </c>
      <c r="AH42">
        <f t="shared" ca="1" si="33"/>
        <v>95.522138011108851</v>
      </c>
      <c r="AI42">
        <f t="shared" ca="1" si="33"/>
        <v>99.680070892166597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-6.8862266490111146E-9</v>
      </c>
      <c r="L43">
        <f t="shared" ca="1" si="34"/>
        <v>-1.493246562529409E-6</v>
      </c>
      <c r="M43">
        <f t="shared" ca="1" si="34"/>
        <v>-7.6877967795568338E-5</v>
      </c>
      <c r="N43">
        <f t="shared" ca="1" si="34"/>
        <v>-6.4065370733325992E-4</v>
      </c>
      <c r="O43">
        <f t="shared" ca="1" si="34"/>
        <v>-2.6747735413164123E-3</v>
      </c>
      <c r="P43">
        <f t="shared" ca="1" si="34"/>
        <v>-2.438041616446128E-2</v>
      </c>
      <c r="Q43">
        <f t="shared" ca="1" si="34"/>
        <v>-0.34789164335286565</v>
      </c>
      <c r="R43">
        <f t="shared" ca="1" si="34"/>
        <v>-0.52987368443967231</v>
      </c>
      <c r="S43">
        <f t="shared" ca="1" si="34"/>
        <v>-0.43477655657541997</v>
      </c>
      <c r="T43">
        <f t="shared" ca="1" si="34"/>
        <v>-0.18124318433480491</v>
      </c>
      <c r="U43">
        <f t="shared" ca="1" si="34"/>
        <v>0.72141830341553315</v>
      </c>
      <c r="V43">
        <f t="shared" ca="1" si="34"/>
        <v>4.3140842515437088</v>
      </c>
      <c r="W43">
        <f t="shared" ca="1" si="34"/>
        <v>13.69957442914181</v>
      </c>
      <c r="X43">
        <f t="shared" ca="1" si="34"/>
        <v>27.65575346102451</v>
      </c>
      <c r="Y43">
        <f t="shared" ca="1" si="34"/>
        <v>40.932348844912511</v>
      </c>
      <c r="Z43">
        <f t="shared" ca="1" si="34"/>
        <v>51.132739530642581</v>
      </c>
      <c r="AA43">
        <f t="shared" ca="1" si="34"/>
        <v>58.953186857078961</v>
      </c>
      <c r="AB43">
        <f t="shared" ca="1" si="34"/>
        <v>65.427416087982706</v>
      </c>
      <c r="AC43">
        <f t="shared" ca="1" si="34"/>
        <v>71.191340939182481</v>
      </c>
      <c r="AD43">
        <f t="shared" ca="1" si="34"/>
        <v>76.549538183906023</v>
      </c>
      <c r="AE43">
        <f t="shared" ca="1" si="34"/>
        <v>81.63145301042951</v>
      </c>
      <c r="AF43">
        <f t="shared" ca="1" si="34"/>
        <v>86.486921039538714</v>
      </c>
      <c r="AG43">
        <f t="shared" ca="1" si="34"/>
        <v>91.132607200895961</v>
      </c>
      <c r="AH43">
        <f t="shared" ca="1" si="34"/>
        <v>95.572691353056371</v>
      </c>
      <c r="AI43">
        <f t="shared" ca="1" si="34"/>
        <v>99.803816144030435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0.25642204845738403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1.8238254666113298E-7</v>
      </c>
      <c r="L46">
        <f t="shared" ca="1" si="35"/>
        <v>2.6433644349605806E-6</v>
      </c>
      <c r="M46">
        <f t="shared" ca="1" si="35"/>
        <v>1.7254212379265688E-5</v>
      </c>
      <c r="N46">
        <f t="shared" ca="1" si="35"/>
        <v>7.8189233404402054E-5</v>
      </c>
      <c r="O46">
        <f t="shared" ca="1" si="35"/>
        <v>2.944151184177942E-4</v>
      </c>
      <c r="P46">
        <f t="shared" ca="1" si="35"/>
        <v>1.3734627213364263E-3</v>
      </c>
      <c r="Q46">
        <f t="shared" ca="1" si="35"/>
        <v>1.5079279997269763E-2</v>
      </c>
      <c r="R46">
        <f t="shared" ca="1" si="35"/>
        <v>5.2505749073519979E-2</v>
      </c>
      <c r="S46">
        <f t="shared" ca="1" si="35"/>
        <v>0.14069619209399817</v>
      </c>
      <c r="T46">
        <f t="shared" ca="1" si="35"/>
        <v>0.34970987529448611</v>
      </c>
      <c r="U46">
        <f t="shared" ca="1" si="35"/>
        <v>0.78362666341397658</v>
      </c>
      <c r="V46">
        <f t="shared" ca="1" si="35"/>
        <v>1.4743102847654228</v>
      </c>
      <c r="W46">
        <f t="shared" ca="1" si="35"/>
        <v>2.1583635551844416</v>
      </c>
      <c r="X46">
        <f t="shared" ca="1" si="35"/>
        <v>2.4353412630442524</v>
      </c>
      <c r="Y46">
        <f t="shared" ca="1" si="35"/>
        <v>2.2728998231695883</v>
      </c>
      <c r="Z46">
        <f t="shared" ca="1" si="35"/>
        <v>1.9058178351247934</v>
      </c>
      <c r="AA46">
        <f t="shared" ca="1" si="35"/>
        <v>1.5134233239277493</v>
      </c>
      <c r="AB46">
        <f t="shared" ca="1" si="35"/>
        <v>1.1691629259328946</v>
      </c>
      <c r="AC46">
        <f t="shared" ca="1" si="35"/>
        <v>0.88927074720031341</v>
      </c>
      <c r="AD46">
        <f t="shared" ca="1" si="35"/>
        <v>0.66951936986215144</v>
      </c>
      <c r="AE46">
        <f t="shared" ca="1" si="35"/>
        <v>0.50023827937887022</v>
      </c>
      <c r="AF46">
        <f t="shared" ca="1" si="35"/>
        <v>0.37143429476093043</v>
      </c>
      <c r="AG46">
        <f t="shared" ca="1" si="35"/>
        <v>0.27432370633860675</v>
      </c>
      <c r="AH46">
        <f t="shared" ca="1" si="35"/>
        <v>0.20165104276654147</v>
      </c>
      <c r="AI46">
        <f t="shared" ca="1" si="35"/>
        <v>0.49360451640144992</v>
      </c>
    </row>
    <row r="47" spans="1:35" ht="19" thickTop="1">
      <c r="A47" s="1" t="s">
        <v>41</v>
      </c>
      <c r="B47" s="11">
        <f ca="1">MAX(0,Ro*(reck-1/spr)/(reck-1))</f>
        <v>7479.2186991617136</v>
      </c>
      <c r="F47" t="s">
        <v>84</v>
      </c>
      <c r="G47" s="31">
        <f ca="1">G39/G53</f>
        <v>1.0000000000000002</v>
      </c>
      <c r="H47" s="31">
        <f ca="1">H53/H39</f>
        <v>0.24750834430982305</v>
      </c>
      <c r="I47" s="31">
        <f ca="1">I53/I39</f>
        <v>0.43084964627423389</v>
      </c>
      <c r="J47" s="8" t="s">
        <v>76</v>
      </c>
      <c r="K47">
        <f t="shared" ref="K47:AI47" ca="1" si="36">lz*qa2_</f>
        <v>6.2762527084491142E-4</v>
      </c>
      <c r="L47">
        <f t="shared" ca="1" si="36"/>
        <v>3.8039046696676598E-2</v>
      </c>
      <c r="M47">
        <f t="shared" ca="1" si="36"/>
        <v>0.55139545497083553</v>
      </c>
      <c r="N47">
        <f t="shared" ca="1" si="36"/>
        <v>1.3001026854946887</v>
      </c>
      <c r="O47">
        <f t="shared" ca="1" si="36"/>
        <v>1.5196966281804678</v>
      </c>
      <c r="P47">
        <f t="shared" ca="1" si="36"/>
        <v>1.5139147331631944</v>
      </c>
      <c r="Q47">
        <f t="shared" ca="1" si="36"/>
        <v>1.3821835429203821</v>
      </c>
      <c r="R47">
        <f t="shared" ca="1" si="36"/>
        <v>1.1740082116041437</v>
      </c>
      <c r="S47">
        <f t="shared" ca="1" si="36"/>
        <v>0.94580837510395299</v>
      </c>
      <c r="T47">
        <f t="shared" ca="1" si="36"/>
        <v>0.73303562674610212</v>
      </c>
      <c r="U47">
        <f t="shared" ca="1" si="36"/>
        <v>0.54742882107596091</v>
      </c>
      <c r="V47">
        <f t="shared" ca="1" si="36"/>
        <v>0.39119049995507338</v>
      </c>
      <c r="W47">
        <f t="shared" ca="1" si="36"/>
        <v>0.2652160801758347</v>
      </c>
      <c r="X47">
        <f t="shared" ca="1" si="36"/>
        <v>0.17067336298834312</v>
      </c>
      <c r="Y47">
        <f t="shared" ca="1" si="36"/>
        <v>0.10549627350557732</v>
      </c>
      <c r="Z47">
        <f t="shared" ca="1" si="36"/>
        <v>8.3252783540493175E-2</v>
      </c>
      <c r="AA47">
        <f t="shared" ca="1" si="36"/>
        <v>6.4500783267617157E-2</v>
      </c>
      <c r="AB47">
        <f t="shared" ca="1" si="36"/>
        <v>4.934394641572018E-2</v>
      </c>
      <c r="AC47">
        <f t="shared" ca="1" si="36"/>
        <v>3.7387737159897953E-2</v>
      </c>
      <c r="AD47">
        <f t="shared" ca="1" si="36"/>
        <v>2.8106751327510022E-2</v>
      </c>
      <c r="AE47">
        <f t="shared" ca="1" si="36"/>
        <v>2.0988153875100994E-2</v>
      </c>
      <c r="AF47">
        <f t="shared" ca="1" si="36"/>
        <v>1.5580603733438551E-2</v>
      </c>
      <c r="AG47">
        <f t="shared" ca="1" si="36"/>
        <v>1.1506178168945395E-2</v>
      </c>
      <c r="AH47">
        <f t="shared" ca="1" si="36"/>
        <v>8.4577976207560988E-3</v>
      </c>
      <c r="AI47">
        <f t="shared" ca="1" si="36"/>
        <v>2.0703043714800664E-2</v>
      </c>
    </row>
    <row r="48" spans="1:35">
      <c r="A48" s="1" t="s">
        <v>43</v>
      </c>
      <c r="B48" s="1">
        <f ca="1">f1_*re*phi_q1</f>
        <v>24089.951092179454</v>
      </c>
      <c r="C48" s="20">
        <f ca="1">ye_1/SUM(ye_1,ye_2,ye_3)</f>
        <v>0.62205315356595303</v>
      </c>
      <c r="F48" t="s">
        <v>85</v>
      </c>
      <c r="G48" s="31">
        <f ca="1">G40/G54</f>
        <v>4.0402678252666586</v>
      </c>
      <c r="H48" s="31">
        <f t="shared" ref="H48:I49" ca="1" si="37">H40/H54</f>
        <v>1</v>
      </c>
      <c r="I48" s="31">
        <f ca="1">I54/I40</f>
        <v>0.29521135865328879</v>
      </c>
      <c r="J48" s="8" t="s">
        <v>77</v>
      </c>
      <c r="K48">
        <f t="shared" ref="K48:AI48" ca="1" si="38">lz*qa3_</f>
        <v>1.4660593190883921E-6</v>
      </c>
      <c r="L48">
        <f t="shared" ca="1" si="38"/>
        <v>2.966623063911081E-5</v>
      </c>
      <c r="M48">
        <f t="shared" ca="1" si="38"/>
        <v>2.6974709147306608E-4</v>
      </c>
      <c r="N48">
        <f t="shared" ca="1" si="38"/>
        <v>1.6883270508743168E-3</v>
      </c>
      <c r="O48">
        <f t="shared" ca="1" si="38"/>
        <v>8.7663816652808948E-3</v>
      </c>
      <c r="P48">
        <f t="shared" ca="1" si="38"/>
        <v>0.10432544600571665</v>
      </c>
      <c r="Q48">
        <f t="shared" ca="1" si="38"/>
        <v>1.9565465616723807</v>
      </c>
      <c r="R48">
        <f t="shared" ca="1" si="38"/>
        <v>3.9316617840603922</v>
      </c>
      <c r="S48">
        <f t="shared" ca="1" si="38"/>
        <v>4.4072795717789388</v>
      </c>
      <c r="T48">
        <f t="shared" ca="1" si="38"/>
        <v>4.2071975961882719</v>
      </c>
      <c r="U48">
        <f t="shared" ca="1" si="38"/>
        <v>3.7455340853536638</v>
      </c>
      <c r="V48">
        <f t="shared" ca="1" si="38"/>
        <v>3.1640645141018235</v>
      </c>
      <c r="W48">
        <f t="shared" ca="1" si="38"/>
        <v>2.5305036915113499</v>
      </c>
      <c r="X48">
        <f t="shared" ca="1" si="38"/>
        <v>1.9199579020370037</v>
      </c>
      <c r="Y48">
        <f t="shared" ca="1" si="38"/>
        <v>1.3990199900386915</v>
      </c>
      <c r="Z48">
        <f t="shared" ca="1" si="38"/>
        <v>1.1040419204319714</v>
      </c>
      <c r="AA48">
        <f t="shared" ca="1" si="38"/>
        <v>0.85536561781757048</v>
      </c>
      <c r="AB48">
        <f t="shared" ca="1" si="38"/>
        <v>0.65436593283402522</v>
      </c>
      <c r="AC48">
        <f t="shared" ca="1" si="38"/>
        <v>0.49581079910130038</v>
      </c>
      <c r="AD48">
        <f t="shared" ca="1" si="38"/>
        <v>0.37273266301822683</v>
      </c>
      <c r="AE48">
        <f t="shared" ca="1" si="38"/>
        <v>0.27833065424554521</v>
      </c>
      <c r="AF48">
        <f t="shared" ca="1" si="38"/>
        <v>0.20661939380066932</v>
      </c>
      <c r="AG48">
        <f t="shared" ca="1" si="38"/>
        <v>0.15258712684719014</v>
      </c>
      <c r="AH48">
        <f t="shared" ca="1" si="38"/>
        <v>0.11216157263141531</v>
      </c>
      <c r="AI48">
        <f t="shared" ca="1" si="38"/>
        <v>0.27454971677383239</v>
      </c>
    </row>
    <row r="49" spans="1:47">
      <c r="A49" s="1" t="s">
        <v>44</v>
      </c>
      <c r="B49" s="1">
        <f ca="1">f2_*re*phi_q2</f>
        <v>6082.9437354769843</v>
      </c>
      <c r="C49" s="20">
        <f ca="1">ye_2/SUM(ye_1,ye_2,ye_3)</f>
        <v>0.15707438836794169</v>
      </c>
      <c r="F49" t="s">
        <v>86</v>
      </c>
      <c r="G49" s="31">
        <f ca="1">G41/G55</f>
        <v>2.3209952906947602</v>
      </c>
      <c r="H49" s="31">
        <f t="shared" ca="1" si="37"/>
        <v>3.3874035354257854</v>
      </c>
      <c r="I49" s="31">
        <f t="shared" ca="1" si="37"/>
        <v>0.99999999999999978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8553.6206703882526</v>
      </c>
      <c r="C50" s="20">
        <f ca="1">ye_3/SUM(ye_1,ye_2,ye_3)</f>
        <v>0.22087245806610531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38726.51549804469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1128.683021071849</v>
      </c>
      <c r="H52" s="57">
        <f ca="1">H40^0.5</f>
        <v>278.72317071921691</v>
      </c>
      <c r="I52" s="11">
        <f ca="1">I41^0.5</f>
        <v>473.6366652815293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3.220918128103341</v>
      </c>
      <c r="C53">
        <f ca="1">AVERAGE(B53:B55)/B53</f>
        <v>0.53585988821450736</v>
      </c>
      <c r="G53">
        <f ca="1">G$52*$J53</f>
        <v>1273925.3620558756</v>
      </c>
      <c r="H53">
        <f t="shared" ref="H53:I53" ca="1" si="39">H$52*$J53</f>
        <v>314590.11037009041</v>
      </c>
      <c r="I53">
        <f t="shared" ca="1" si="39"/>
        <v>534585.66226035252</v>
      </c>
      <c r="J53">
        <f t="array" aca="1" ref="J53:J55" ca="1">TRANSPOSE(G52:I52)</f>
        <v>1128.683021071849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0.81331272425003076</v>
      </c>
      <c r="C54">
        <f ca="1">AVERAGE(B53:B55)/B54</f>
        <v>2.1221367582378279</v>
      </c>
      <c r="G54">
        <f t="shared" ref="G54:I55" ca="1" si="40">G$52*$J54</f>
        <v>314590.11037009046</v>
      </c>
      <c r="H54">
        <f t="shared" ca="1" si="40"/>
        <v>77686.60589577374</v>
      </c>
      <c r="I54">
        <f ca="1">I$52*$J54</f>
        <v>132013.51311614428</v>
      </c>
      <c r="J54">
        <f ca="1"/>
        <v>278.72317071921691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1.1436516318672376</v>
      </c>
      <c r="C55">
        <f ca="1">AVERAGE(B53:B55)/B55</f>
        <v>1.5091665853312026</v>
      </c>
      <c r="G55">
        <f t="shared" ca="1" si="40"/>
        <v>534585.66226035263</v>
      </c>
      <c r="H55">
        <f t="shared" ca="1" si="40"/>
        <v>132013.51311614428</v>
      </c>
      <c r="I55">
        <f t="shared" ca="1" si="40"/>
        <v>224331.69069900742</v>
      </c>
      <c r="J55">
        <f ca="1"/>
        <v>473.6366652815293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5.7627342301623384E-2</v>
      </c>
      <c r="C56">
        <f ca="1">AVERAGE(B56:B58)/B56</f>
        <v>1.2806406936508459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0.12342203635230284</v>
      </c>
      <c r="C57">
        <f ca="1">AVERAGE(B56:B58)/B57</f>
        <v>0.59794767449588215</v>
      </c>
      <c r="G57">
        <f t="array" aca="1" ref="G57:I59" ca="1">MMULT($G$52:$I$52,TRANSPOSE($G$52:$I$52))</f>
        <v>1575943.6586506569</v>
      </c>
      <c r="H57">
        <f ca="1"/>
        <v>1575943.6586506569</v>
      </c>
      <c r="I57">
        <f ca="1"/>
        <v>1575943.6586506569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4.0350380201290878E-2</v>
      </c>
      <c r="C58">
        <f ca="1">AVERAGE(B56:B58)/B58</f>
        <v>1.8289770567278254</v>
      </c>
      <c r="G58">
        <f ca="1"/>
        <v>1575943.6586506569</v>
      </c>
      <c r="H58">
        <f ca="1"/>
        <v>1575943.6586506569</v>
      </c>
      <c r="I58">
        <f ca="1"/>
        <v>1575943.6586506569</v>
      </c>
      <c r="AL58" s="31"/>
      <c r="AM58" s="31"/>
      <c r="AN58" s="31"/>
      <c r="AO58" s="31"/>
      <c r="AP58" s="31"/>
    </row>
    <row r="59" spans="1:47">
      <c r="G59">
        <f ca="1"/>
        <v>1575943.6586506569</v>
      </c>
      <c r="H59">
        <f ca="1"/>
        <v>1575943.6586506569</v>
      </c>
      <c r="I59">
        <f ca="1"/>
        <v>1575943.6586506569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55.892185887125436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6.5896881001741452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28.343019970618524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0.60367371601208464</v>
      </c>
      <c r="E4" s="47">
        <v>24977</v>
      </c>
      <c r="F4" s="47">
        <f ca="1">ye_1</f>
        <v>24490.938963222034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0.22513595166163136</v>
      </c>
      <c r="E5" s="47">
        <v>9315</v>
      </c>
      <c r="F5" s="47">
        <f ca="1">ye_2</f>
        <v>9133.7268864320467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0.17119033232628397</v>
      </c>
      <c r="E6" s="47">
        <v>7083</v>
      </c>
      <c r="F6" s="47">
        <f ca="1">ye_3</f>
        <v>6945.1623764463975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0.26470457816461607</v>
      </c>
      <c r="J7" t="s">
        <v>7</v>
      </c>
      <c r="K7" s="1">
        <f>1</f>
        <v>1</v>
      </c>
      <c r="L7" s="1">
        <f ca="1">K7*EXP(-K8)</f>
        <v>0.86042325742162218</v>
      </c>
      <c r="M7" s="1">
        <f t="shared" ref="M7:AH7" ca="1" si="3">L7*EXP(-L8)</f>
        <v>0.73756005772025812</v>
      </c>
      <c r="N7" s="1">
        <f t="shared" ca="1" si="3"/>
        <v>0.61747082565455935</v>
      </c>
      <c r="O7" s="1">
        <f t="shared" ca="1" si="3"/>
        <v>0.50808358815916266</v>
      </c>
      <c r="P7" s="1">
        <f t="shared" ca="1" si="3"/>
        <v>0.4178671796031932</v>
      </c>
      <c r="Q7" s="1">
        <f t="shared" ca="1" si="3"/>
        <v>0.34810948690260785</v>
      </c>
      <c r="R7" s="1">
        <f t="shared" ca="1" si="3"/>
        <v>0.28673517162279233</v>
      </c>
      <c r="S7" s="1">
        <f t="shared" ca="1" si="3"/>
        <v>0.23372638716370972</v>
      </c>
      <c r="T7" s="1">
        <f t="shared" ca="1" si="3"/>
        <v>0.18998840985488485</v>
      </c>
      <c r="U7" s="1">
        <f t="shared" ca="1" si="3"/>
        <v>0.15374546914838844</v>
      </c>
      <c r="V7" s="1">
        <f t="shared" ca="1" si="3"/>
        <v>0.1227394795034214</v>
      </c>
      <c r="W7" s="1">
        <f t="shared" ca="1" si="3"/>
        <v>9.5303711502265021E-2</v>
      </c>
      <c r="X7" s="1">
        <f t="shared" ca="1" si="3"/>
        <v>7.1296999119871293E-2</v>
      </c>
      <c r="Y7" s="1">
        <f t="shared" ca="1" si="3"/>
        <v>5.1671861422344985E-2</v>
      </c>
      <c r="Z7" s="1">
        <f t="shared" ca="1" si="3"/>
        <v>3.6780714071246098E-2</v>
      </c>
      <c r="AA7" s="1">
        <f t="shared" ca="1" si="3"/>
        <v>2.5920022100744948E-2</v>
      </c>
      <c r="AB7" s="1">
        <f t="shared" ca="1" si="3"/>
        <v>1.8188802898638584E-2</v>
      </c>
      <c r="AC7" s="1">
        <f t="shared" ca="1" si="3"/>
        <v>1.274172938328752E-2</v>
      </c>
      <c r="AD7" s="1">
        <f t="shared" ca="1" si="3"/>
        <v>8.9198781433969861E-3</v>
      </c>
      <c r="AE7" s="1">
        <f t="shared" ca="1" si="3"/>
        <v>6.2427338119741558E-3</v>
      </c>
      <c r="AF7" s="1">
        <f t="shared" ca="1" si="3"/>
        <v>4.368641223971707E-3</v>
      </c>
      <c r="AG7" s="1">
        <f t="shared" ca="1" si="3"/>
        <v>3.0570398150599116E-3</v>
      </c>
      <c r="AH7" s="1">
        <f t="shared" ca="1" si="3"/>
        <v>2.1391916211398136E-3</v>
      </c>
      <c r="AI7" s="1">
        <f ca="1">AH7*EXP(-AH8)/(1-EXP(-AI8))</f>
        <v>4.9856448745353426E-3</v>
      </c>
    </row>
    <row r="8" spans="1:35">
      <c r="A8" s="5"/>
      <c r="B8" s="26"/>
      <c r="C8" s="26"/>
      <c r="E8" t="s">
        <v>111</v>
      </c>
      <c r="F8">
        <f ca="1">SUMXMY2(E4:E6,F4:F6)</f>
        <v>288114.48364319629</v>
      </c>
      <c r="J8" t="s">
        <v>11</v>
      </c>
      <c r="K8" s="1">
        <f ca="1">M+f1_*flt1_ +f2_*flt2_ +f3_*flt3_</f>
        <v>0.15033085101290794</v>
      </c>
      <c r="L8" s="1">
        <f t="shared" ref="L8:AI8" ca="1" si="4">M+f1_*flt1_ +f2_*flt2_ +f3_*flt3_</f>
        <v>0.15407690887387826</v>
      </c>
      <c r="M8" s="1">
        <f t="shared" ca="1" si="4"/>
        <v>0.17771569761288905</v>
      </c>
      <c r="N8" s="1">
        <f t="shared" ca="1" si="4"/>
        <v>0.19498584381939763</v>
      </c>
      <c r="O8" s="1">
        <f t="shared" ca="1" si="4"/>
        <v>0.19548234777768836</v>
      </c>
      <c r="P8" s="1">
        <f t="shared" ca="1" si="4"/>
        <v>0.18264658205639084</v>
      </c>
      <c r="Q8" s="1">
        <f t="shared" ca="1" si="4"/>
        <v>0.19395800502132673</v>
      </c>
      <c r="R8" s="1">
        <f t="shared" ca="1" si="4"/>
        <v>0.20440789722292713</v>
      </c>
      <c r="S8" s="1">
        <f t="shared" ca="1" si="4"/>
        <v>0.20718807604863121</v>
      </c>
      <c r="T8" s="1">
        <f t="shared" ca="1" si="4"/>
        <v>0.21166463223726195</v>
      </c>
      <c r="U8" s="1">
        <f t="shared" ca="1" si="4"/>
        <v>0.22523438099034115</v>
      </c>
      <c r="V8" s="1">
        <f t="shared" ca="1" si="4"/>
        <v>0.25299530094746098</v>
      </c>
      <c r="W8" s="1">
        <f t="shared" ca="1" si="4"/>
        <v>0.29021451690686023</v>
      </c>
      <c r="X8" s="1">
        <f t="shared" ca="1" si="4"/>
        <v>0.32194087159892348</v>
      </c>
      <c r="Y8" s="1">
        <f t="shared" ca="1" si="4"/>
        <v>0.3399397332061444</v>
      </c>
      <c r="Z8" s="1">
        <f t="shared" ca="1" si="4"/>
        <v>0.34995790951320016</v>
      </c>
      <c r="AA8" s="1">
        <f t="shared" ca="1" si="4"/>
        <v>0.35420954473145883</v>
      </c>
      <c r="AB8" s="1">
        <f t="shared" ca="1" si="4"/>
        <v>0.35592379410178793</v>
      </c>
      <c r="AC8" s="1">
        <f t="shared" ca="1" si="4"/>
        <v>0.35660009985820534</v>
      </c>
      <c r="AD8" s="1">
        <f t="shared" ca="1" si="4"/>
        <v>0.35686408811238113</v>
      </c>
      <c r="AE8" s="1">
        <f t="shared" ca="1" si="4"/>
        <v>0.35696616930376585</v>
      </c>
      <c r="AF8" s="1">
        <f t="shared" ca="1" si="4"/>
        <v>0.35700496097808876</v>
      </c>
      <c r="AG8" s="1">
        <f t="shared" ca="1" si="4"/>
        <v>0.3570190565118076</v>
      </c>
      <c r="AH8" s="1">
        <f t="shared" ca="1" si="4"/>
        <v>0.3570235220446149</v>
      </c>
      <c r="AI8" s="1">
        <f t="shared" ca="1" si="4"/>
        <v>0.35702423347611439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0.86042325742162218</v>
      </c>
      <c r="L10" s="1">
        <f t="shared" ca="1" si="5"/>
        <v>0.85720609172102036</v>
      </c>
      <c r="M10" s="1">
        <f t="shared" ca="1" si="5"/>
        <v>0.83718040204497324</v>
      </c>
      <c r="N10" s="1">
        <f t="shared" ca="1" si="5"/>
        <v>0.82284630633449107</v>
      </c>
      <c r="O10" s="1">
        <f t="shared" ca="1" si="5"/>
        <v>0.82243786129201202</v>
      </c>
      <c r="P10" s="1">
        <f t="shared" ca="1" si="5"/>
        <v>0.83306252296046013</v>
      </c>
      <c r="Q10" s="1">
        <f t="shared" ca="1" si="5"/>
        <v>0.82369249449100335</v>
      </c>
      <c r="R10" s="1">
        <f t="shared" ca="1" si="5"/>
        <v>0.81512981417983466</v>
      </c>
      <c r="S10" s="1">
        <f t="shared" ca="1" si="5"/>
        <v>0.81286675484274984</v>
      </c>
      <c r="T10" s="1">
        <f t="shared" ca="1" si="5"/>
        <v>0.80923604374509395</v>
      </c>
      <c r="U10" s="1">
        <f t="shared" ca="1" si="5"/>
        <v>0.79832908366853139</v>
      </c>
      <c r="V10" s="1">
        <f t="shared" ca="1" si="5"/>
        <v>0.77647153049568207</v>
      </c>
      <c r="W10" s="1">
        <f t="shared" ca="1" si="5"/>
        <v>0.74810306960791162</v>
      </c>
      <c r="X10" s="1">
        <f t="shared" ca="1" si="5"/>
        <v>0.72474104184201837</v>
      </c>
      <c r="Y10" s="1">
        <f t="shared" ca="1" si="5"/>
        <v>0.71181322017055582</v>
      </c>
      <c r="Z10" s="1">
        <f t="shared" ca="1" si="5"/>
        <v>0.70471775100767642</v>
      </c>
      <c r="AA10" s="1">
        <f t="shared" ca="1" si="5"/>
        <v>0.70172790856207767</v>
      </c>
      <c r="AB10" s="1">
        <f t="shared" ca="1" si="5"/>
        <v>0.70052600241444296</v>
      </c>
      <c r="AC10" s="1">
        <f t="shared" ca="1" si="5"/>
        <v>0.70005239281699061</v>
      </c>
      <c r="AD10" s="1">
        <f t="shared" ca="1" si="5"/>
        <v>0.69986761159908795</v>
      </c>
      <c r="AE10" s="1">
        <f t="shared" ca="1" si="5"/>
        <v>0.69979617192586985</v>
      </c>
      <c r="AF10" s="1">
        <f t="shared" ca="1" si="5"/>
        <v>0.69976902618719372</v>
      </c>
      <c r="AG10" s="1">
        <f t="shared" ca="1" si="5"/>
        <v>0.69975916263880589</v>
      </c>
      <c r="AH10" s="1">
        <f t="shared" ca="1" si="5"/>
        <v>0.69975603784828488</v>
      </c>
      <c r="AI10" s="1">
        <f t="shared" ca="1" si="5"/>
        <v>0.69975554001997464</v>
      </c>
    </row>
    <row r="11" spans="1:35">
      <c r="A11" s="5">
        <v>1</v>
      </c>
      <c r="B11" s="25">
        <f>'Status Quo'!B11</f>
        <v>0.26028638242243257</v>
      </c>
      <c r="C11" s="18">
        <f ca="1">mpr1_/SUM(mpr1_,mpr2_,mpr3_)</f>
        <v>0.28370844168367415</v>
      </c>
      <c r="J11" t="s">
        <v>56</v>
      </c>
      <c r="K11" s="1">
        <f ca="1">1-sa</f>
        <v>0.13957674257837782</v>
      </c>
      <c r="L11" s="1">
        <f t="shared" ref="L11:AI11" ca="1" si="6">1-sa</f>
        <v>0.14279390827897964</v>
      </c>
      <c r="M11" s="1">
        <f t="shared" ca="1" si="6"/>
        <v>0.16281959795502676</v>
      </c>
      <c r="N11" s="1">
        <f t="shared" ca="1" si="6"/>
        <v>0.17715369366550893</v>
      </c>
      <c r="O11" s="1">
        <f t="shared" ca="1" si="6"/>
        <v>0.17756213870798798</v>
      </c>
      <c r="P11" s="1">
        <f t="shared" ca="1" si="6"/>
        <v>0.16693747703953987</v>
      </c>
      <c r="Q11" s="1">
        <f t="shared" ca="1" si="6"/>
        <v>0.17630750550899665</v>
      </c>
      <c r="R11" s="1">
        <f t="shared" ca="1" si="6"/>
        <v>0.18487018582016534</v>
      </c>
      <c r="S11" s="1">
        <f t="shared" ca="1" si="6"/>
        <v>0.18713324515725016</v>
      </c>
      <c r="T11" s="1">
        <f t="shared" ca="1" si="6"/>
        <v>0.19076395625490605</v>
      </c>
      <c r="U11" s="1">
        <f t="shared" ca="1" si="6"/>
        <v>0.20167091633146861</v>
      </c>
      <c r="V11" s="1">
        <f t="shared" ca="1" si="6"/>
        <v>0.22352846950431793</v>
      </c>
      <c r="W11" s="1">
        <f t="shared" ca="1" si="6"/>
        <v>0.25189693039208838</v>
      </c>
      <c r="X11" s="1">
        <f t="shared" ca="1" si="6"/>
        <v>0.27525895815798163</v>
      </c>
      <c r="Y11" s="1">
        <f t="shared" ca="1" si="6"/>
        <v>0.28818677982944418</v>
      </c>
      <c r="Z11" s="1">
        <f t="shared" ca="1" si="6"/>
        <v>0.29528224899232358</v>
      </c>
      <c r="AA11" s="1">
        <f t="shared" ca="1" si="6"/>
        <v>0.29827209143792233</v>
      </c>
      <c r="AB11" s="1">
        <f t="shared" ca="1" si="6"/>
        <v>0.29947399758555704</v>
      </c>
      <c r="AC11" s="1">
        <f t="shared" ca="1" si="6"/>
        <v>0.29994760718300939</v>
      </c>
      <c r="AD11" s="1">
        <f t="shared" ca="1" si="6"/>
        <v>0.30013238840091205</v>
      </c>
      <c r="AE11" s="1">
        <f t="shared" ca="1" si="6"/>
        <v>0.30020382807413015</v>
      </c>
      <c r="AF11" s="1">
        <f t="shared" ca="1" si="6"/>
        <v>0.30023097381280628</v>
      </c>
      <c r="AG11" s="1">
        <f t="shared" ca="1" si="6"/>
        <v>0.30024083736119411</v>
      </c>
      <c r="AH11" s="1">
        <f t="shared" ca="1" si="6"/>
        <v>0.30024396215171512</v>
      </c>
      <c r="AI11" s="1">
        <f t="shared" ca="1" si="6"/>
        <v>0.30024445998002536</v>
      </c>
    </row>
    <row r="12" spans="1:35">
      <c r="A12" s="5">
        <v>2</v>
      </c>
      <c r="B12" s="25">
        <f>'Status Quo'!B12</f>
        <v>0.55746237931999676</v>
      </c>
      <c r="C12" s="18">
        <f ca="1">mpr2_/SUM(mpr1_,mpr2_,mpr3_)</f>
        <v>0.55054177791102588</v>
      </c>
      <c r="J12" t="s">
        <v>100</v>
      </c>
      <c r="K12">
        <f>1/(1+EXP(($E18-len)/2.5))</f>
        <v>0.99898718624880734</v>
      </c>
      <c r="L12">
        <f t="shared" ref="L12:AI12" si="7">1/(1+EXP(($E18-len)/2.5))</f>
        <v>0.99999561571634576</v>
      </c>
      <c r="M12">
        <f t="shared" si="7"/>
        <v>0.99999997149652653</v>
      </c>
      <c r="N12">
        <f t="shared" si="7"/>
        <v>0.99999999972979126</v>
      </c>
      <c r="O12">
        <f t="shared" si="7"/>
        <v>0.9999999999963689</v>
      </c>
      <c r="P12">
        <f t="shared" si="7"/>
        <v>0.99999999999993272</v>
      </c>
      <c r="Q12">
        <f t="shared" si="7"/>
        <v>0.99999999999999822</v>
      </c>
      <c r="R12">
        <f>1/(1+EXP(($E18-len)/2.5))</f>
        <v>1</v>
      </c>
      <c r="S12">
        <f t="shared" si="7"/>
        <v>1</v>
      </c>
      <c r="T12">
        <f t="shared" si="7"/>
        <v>1</v>
      </c>
      <c r="U12">
        <f t="shared" si="7"/>
        <v>1</v>
      </c>
      <c r="V12">
        <f t="shared" si="7"/>
        <v>1</v>
      </c>
      <c r="W12">
        <f t="shared" si="7"/>
        <v>1</v>
      </c>
      <c r="X12">
        <f t="shared" si="7"/>
        <v>1</v>
      </c>
      <c r="Y12">
        <f t="shared" si="7"/>
        <v>1</v>
      </c>
      <c r="Z12">
        <f t="shared" si="7"/>
        <v>1</v>
      </c>
      <c r="AA12">
        <f t="shared" si="7"/>
        <v>1</v>
      </c>
      <c r="AB12">
        <f t="shared" si="7"/>
        <v>1</v>
      </c>
      <c r="AC12">
        <f t="shared" si="7"/>
        <v>1</v>
      </c>
      <c r="AD12">
        <f t="shared" si="7"/>
        <v>1</v>
      </c>
      <c r="AE12">
        <f t="shared" si="7"/>
        <v>1</v>
      </c>
      <c r="AF12">
        <f t="shared" si="7"/>
        <v>1</v>
      </c>
      <c r="AG12">
        <f t="shared" si="7"/>
        <v>1</v>
      </c>
      <c r="AH12">
        <f t="shared" si="7"/>
        <v>1</v>
      </c>
      <c r="AI12">
        <f t="shared" si="7"/>
        <v>1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0.16574978040530003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0.26470457816461607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1.830485116961449E-2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0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1.7487569691926385E-5</v>
      </c>
      <c r="L18" s="4">
        <f t="shared" ref="K18:O20" si="11">((EXP(g*(ah-age)/gh)/(1+EXP((ah-age)/gh))) *(1/(1-g))*((1-g)/g)^g) *(sr+(1-sr)*dmr)</f>
        <v>4.4902571834539442E-5</v>
      </c>
      <c r="M18" s="4">
        <f t="shared" si="11"/>
        <v>1.1519347993950258E-4</v>
      </c>
      <c r="N18" s="4">
        <f t="shared" si="11"/>
        <v>2.9548485397885941E-4</v>
      </c>
      <c r="O18" s="4">
        <f t="shared" si="11"/>
        <v>7.5773966004096124E-4</v>
      </c>
      <c r="P18" s="4">
        <f t="shared" ref="P18:AI18" si="12">((EXP(g*(ah-age)/gh)/(1+EXP((ah-age)/gh))) *(1/(1-g))*((1-g)/g)^g) *(sr_1+(1-sr_1)*dmr)</f>
        <v>1.9417388932822101E-3</v>
      </c>
      <c r="Q18" s="4">
        <f t="shared" si="12"/>
        <v>4.9665915350332393E-3</v>
      </c>
      <c r="R18" s="4">
        <f t="shared" si="12"/>
        <v>1.264389182496488E-2</v>
      </c>
      <c r="S18" s="4">
        <f t="shared" si="12"/>
        <v>3.1809350428012848E-2</v>
      </c>
      <c r="T18" s="4">
        <f t="shared" si="12"/>
        <v>7.7738615037063016E-2</v>
      </c>
      <c r="U18" s="4">
        <f t="shared" si="12"/>
        <v>0.1778073642559149</v>
      </c>
      <c r="V18" s="4">
        <f t="shared" si="12"/>
        <v>0.35685364201210734</v>
      </c>
      <c r="W18" s="4">
        <f t="shared" si="12"/>
        <v>0.58740290223317881</v>
      </c>
      <c r="X18" s="4">
        <f t="shared" si="12"/>
        <v>0.78510412978957989</v>
      </c>
      <c r="Y18" s="4">
        <f t="shared" si="12"/>
        <v>0.90364572756009798</v>
      </c>
      <c r="Z18" s="4">
        <f t="shared" si="12"/>
        <v>0.9601468195903865</v>
      </c>
      <c r="AA18" s="4">
        <f t="shared" si="12"/>
        <v>0.98412543859081891</v>
      </c>
      <c r="AB18" s="4">
        <f t="shared" si="12"/>
        <v>0.99379356165705124</v>
      </c>
      <c r="AC18" s="4">
        <f t="shared" si="12"/>
        <v>0.99760783010399812</v>
      </c>
      <c r="AD18" s="4">
        <f t="shared" si="12"/>
        <v>0.99909668637752946</v>
      </c>
      <c r="AE18" s="4">
        <f t="shared" si="12"/>
        <v>0.99967240980385075</v>
      </c>
      <c r="AF18" s="4">
        <f t="shared" si="12"/>
        <v>0.9998911893395418</v>
      </c>
      <c r="AG18" s="4">
        <f t="shared" si="12"/>
        <v>0.99997068614848739</v>
      </c>
      <c r="AH18" s="4">
        <f t="shared" si="12"/>
        <v>0.99999587111952148</v>
      </c>
      <c r="AI18" s="4">
        <f t="shared" si="12"/>
        <v>0.99999988349217228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104</v>
      </c>
      <c r="K19" s="4">
        <f t="shared" si="11"/>
        <v>6.9896233013243096E-3</v>
      </c>
      <c r="L19" s="4">
        <f t="shared" si="11"/>
        <v>9.0277807856486064E-2</v>
      </c>
      <c r="M19" s="4">
        <f t="shared" si="11"/>
        <v>0.61907439951896936</v>
      </c>
      <c r="N19" s="4">
        <f t="shared" si="11"/>
        <v>0.9946461158797264</v>
      </c>
      <c r="O19" s="4">
        <f t="shared" si="11"/>
        <v>0.9604335906118534</v>
      </c>
      <c r="P19" s="4">
        <f t="shared" ref="P19:Y19" si="13">((EXP(g*(ah-age)/gh)/(1+EXP((ah-age)/gh))) *(1/(1-g))*((1-g)/g)^g) *(sr_2+(1-sr_2)*dmr)</f>
        <v>0.70745534231686646</v>
      </c>
      <c r="Q19" s="4">
        <f t="shared" si="13"/>
        <v>0.64927927634191906</v>
      </c>
      <c r="R19" s="4">
        <f t="shared" si="13"/>
        <v>0.59575884853910321</v>
      </c>
      <c r="S19" s="4">
        <f t="shared" si="13"/>
        <v>0.54664233469302104</v>
      </c>
      <c r="T19" s="4">
        <f t="shared" si="13"/>
        <v>0.50157468951578632</v>
      </c>
      <c r="U19" s="4">
        <f t="shared" si="13"/>
        <v>0.4602225942502744</v>
      </c>
      <c r="V19" s="4">
        <f t="shared" si="13"/>
        <v>0.42227975176266414</v>
      </c>
      <c r="W19" s="4">
        <f t="shared" si="13"/>
        <v>0.38746508956213166</v>
      </c>
      <c r="X19" s="4">
        <f t="shared" si="13"/>
        <v>0.35552070635652122</v>
      </c>
      <c r="Y19" s="4">
        <f t="shared" si="13"/>
        <v>0.32620996330610219</v>
      </c>
      <c r="Z19" s="4">
        <f>Y19</f>
        <v>0.32620996330610219</v>
      </c>
      <c r="AA19" s="4">
        <f t="shared" ref="AA19:AI20" si="14">Z19</f>
        <v>0.32620996330610219</v>
      </c>
      <c r="AB19" s="4">
        <f t="shared" si="14"/>
        <v>0.32620996330610219</v>
      </c>
      <c r="AC19" s="4">
        <f t="shared" si="14"/>
        <v>0.32620996330610219</v>
      </c>
      <c r="AD19" s="4">
        <f t="shared" si="14"/>
        <v>0.32620996330610219</v>
      </c>
      <c r="AE19" s="4">
        <f t="shared" si="14"/>
        <v>0.32620996330610219</v>
      </c>
      <c r="AF19" s="4">
        <f t="shared" si="14"/>
        <v>0.32620996330610219</v>
      </c>
      <c r="AG19" s="4">
        <f t="shared" si="14"/>
        <v>0.32620996330610219</v>
      </c>
      <c r="AH19" s="4">
        <f t="shared" si="14"/>
        <v>0.32620996330610219</v>
      </c>
      <c r="AI19" s="4">
        <f t="shared" si="14"/>
        <v>0.32620996330610219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1"/>
        <v>6.425318067763868E-4</v>
      </c>
      <c r="L20" s="4">
        <f t="shared" si="11"/>
        <v>2.3037122428849672E-3</v>
      </c>
      <c r="M20" s="4">
        <f t="shared" si="11"/>
        <v>8.2326476994765176E-3</v>
      </c>
      <c r="N20" s="4">
        <f t="shared" si="11"/>
        <v>2.9153635000203768E-2</v>
      </c>
      <c r="O20" s="4">
        <f t="shared" si="11"/>
        <v>9.9687897014627228E-2</v>
      </c>
      <c r="P20" s="4">
        <f t="shared" ref="P20:Y20" si="15">((EXP(g*(ah-age)/gh)/(1+EXP((ah-age)/gh))) *(1/(1-g))*((1-g)/g)^g) *(sr_3+(1-sr_3)*dmr)</f>
        <v>3.3246043236910654E-2</v>
      </c>
      <c r="Q20" s="4">
        <f t="shared" si="15"/>
        <v>0.52071205722667446</v>
      </c>
      <c r="R20" s="4">
        <f t="shared" si="15"/>
        <v>0.93908880481731272</v>
      </c>
      <c r="S20" s="4">
        <f t="shared" si="15"/>
        <v>0.99607347533585666</v>
      </c>
      <c r="T20" s="4">
        <f t="shared" si="15"/>
        <v>0.9352196649008131</v>
      </c>
      <c r="U20" s="4">
        <f t="shared" si="15"/>
        <v>0.84987243594328499</v>
      </c>
      <c r="V20" s="4">
        <f t="shared" si="15"/>
        <v>0.7658549491047888</v>
      </c>
      <c r="W20" s="4">
        <f t="shared" si="15"/>
        <v>0.68868156786342249</v>
      </c>
      <c r="X20" s="4">
        <f t="shared" si="15"/>
        <v>0.61895509223172329</v>
      </c>
      <c r="Y20" s="4">
        <f t="shared" si="15"/>
        <v>0.55621388310667164</v>
      </c>
      <c r="Z20" s="4">
        <f>Y20</f>
        <v>0.55621388310667164</v>
      </c>
      <c r="AA20" s="4">
        <f t="shared" si="14"/>
        <v>0.55621388310667164</v>
      </c>
      <c r="AB20" s="4">
        <f t="shared" si="14"/>
        <v>0.55621388310667164</v>
      </c>
      <c r="AC20" s="4">
        <f t="shared" si="14"/>
        <v>0.55621388310667164</v>
      </c>
      <c r="AD20" s="4">
        <f t="shared" si="14"/>
        <v>0.55621388310667164</v>
      </c>
      <c r="AE20" s="4">
        <f t="shared" si="14"/>
        <v>0.55621388310667164</v>
      </c>
      <c r="AF20" s="4">
        <f t="shared" si="14"/>
        <v>0.55621388310667164</v>
      </c>
      <c r="AG20" s="4">
        <f t="shared" si="14"/>
        <v>0.55621388310667164</v>
      </c>
      <c r="AH20" s="4">
        <f t="shared" si="14"/>
        <v>0.55621388310667164</v>
      </c>
      <c r="AI20" s="4">
        <f t="shared" si="14"/>
        <v>0.55621388310667164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6">wa*flt1_*(1-EXP(-za))/za</f>
        <v>1.1391345586522849E-6</v>
      </c>
      <c r="L22" s="1">
        <f t="shared" ca="1" si="16"/>
        <v>1.9241937046112844E-5</v>
      </c>
      <c r="M22" s="1">
        <f t="shared" ca="1" si="16"/>
        <v>1.4792935042376386E-4</v>
      </c>
      <c r="N22" s="1">
        <f t="shared" ca="1" si="16"/>
        <v>8.124519856765695E-4</v>
      </c>
      <c r="O22" s="1">
        <f t="shared" ca="1" si="16"/>
        <v>3.7159446657697515E-3</v>
      </c>
      <c r="P22" s="1">
        <f t="shared" ca="1" si="16"/>
        <v>1.5127094980033553E-2</v>
      </c>
      <c r="Q22" s="1">
        <f t="shared" ca="1" si="16"/>
        <v>5.5812670206326867E-2</v>
      </c>
      <c r="R22" s="1">
        <f t="shared" ca="1" si="16"/>
        <v>0.19269158971067532</v>
      </c>
      <c r="S22" s="1">
        <f t="shared" ca="1" si="16"/>
        <v>0.62933289563207795</v>
      </c>
      <c r="T22" s="1">
        <f t="shared" ca="1" si="16"/>
        <v>1.9221529492098375</v>
      </c>
      <c r="U22" s="1">
        <f t="shared" ca="1" si="16"/>
        <v>5.3091765790022327</v>
      </c>
      <c r="V22" s="1">
        <f t="shared" ca="1" si="16"/>
        <v>12.470801992114779</v>
      </c>
      <c r="W22" s="1">
        <f t="shared" ca="1" si="16"/>
        <v>23.435623589090312</v>
      </c>
      <c r="X22" s="1">
        <f t="shared" ca="1" si="16"/>
        <v>35.246302531885291</v>
      </c>
      <c r="Y22" s="1">
        <f t="shared" ca="1" si="16"/>
        <v>45.280756499062491</v>
      </c>
      <c r="Z22" s="1">
        <f t="shared" ca="1" si="16"/>
        <v>53.229952971733077</v>
      </c>
      <c r="AA22" s="1">
        <f t="shared" ca="1" si="16"/>
        <v>59.87081624480907</v>
      </c>
      <c r="AB22" s="1">
        <f t="shared" ca="1" si="16"/>
        <v>65.795039536122431</v>
      </c>
      <c r="AC22" s="1">
        <f t="shared" ca="1" si="16"/>
        <v>71.313992095676127</v>
      </c>
      <c r="AD22" s="1">
        <f t="shared" ca="1" si="16"/>
        <v>76.564252036452984</v>
      </c>
      <c r="AE22" s="1">
        <f t="shared" ca="1" si="16"/>
        <v>81.597882505849356</v>
      </c>
      <c r="AF22" s="1">
        <f t="shared" ca="1" si="16"/>
        <v>86.430741854997279</v>
      </c>
      <c r="AG22" s="1">
        <f t="shared" ca="1" si="16"/>
        <v>91.064902909130794</v>
      </c>
      <c r="AH22" s="1">
        <f t="shared" ca="1" si="16"/>
        <v>95.498345253576986</v>
      </c>
      <c r="AI22" s="1">
        <f t="shared" ca="1" si="16"/>
        <v>99.728883211860889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7">wa*flt2_*(1-EXP(-za))/za</f>
        <v>4.5530177118754961E-4</v>
      </c>
      <c r="L23" s="1">
        <f t="shared" ca="1" si="17"/>
        <v>3.8686423170518021E-2</v>
      </c>
      <c r="M23" s="1">
        <f t="shared" ca="1" si="17"/>
        <v>0.79500396926040007</v>
      </c>
      <c r="N23" s="1">
        <f t="shared" ca="1" si="17"/>
        <v>2.7348346319970323</v>
      </c>
      <c r="O23" s="1">
        <f t="shared" ca="1" si="17"/>
        <v>4.7099528585679158</v>
      </c>
      <c r="P23" s="1">
        <f t="shared" ca="1" si="17"/>
        <v>5.5114228768780222</v>
      </c>
      <c r="Q23" s="1">
        <f t="shared" ca="1" si="17"/>
        <v>7.2963540220006378</v>
      </c>
      <c r="R23" s="1">
        <f t="shared" ca="1" si="17"/>
        <v>9.0793025753777421</v>
      </c>
      <c r="S23" s="1">
        <f t="shared" ca="1" si="17"/>
        <v>10.815059054600431</v>
      </c>
      <c r="T23" s="1">
        <f t="shared" ca="1" si="17"/>
        <v>12.401858050109679</v>
      </c>
      <c r="U23" s="1">
        <f t="shared" ca="1" si="17"/>
        <v>13.741855005535422</v>
      </c>
      <c r="V23" s="1">
        <f t="shared" ca="1" si="17"/>
        <v>14.757218505094857</v>
      </c>
      <c r="W23" s="1">
        <f t="shared" ca="1" si="17"/>
        <v>15.458701273638995</v>
      </c>
      <c r="X23" s="1">
        <f t="shared" ca="1" si="17"/>
        <v>15.960673109629356</v>
      </c>
      <c r="Y23" s="1">
        <f t="shared" ca="1" si="17"/>
        <v>16.346045209458882</v>
      </c>
      <c r="Z23" s="1">
        <f t="shared" ca="1" si="17"/>
        <v>18.084881032155479</v>
      </c>
      <c r="AA23" s="1">
        <f t="shared" ca="1" si="17"/>
        <v>19.845495304228141</v>
      </c>
      <c r="AB23" s="1">
        <f t="shared" ca="1" si="17"/>
        <v>21.597038118273421</v>
      </c>
      <c r="AC23" s="1">
        <f t="shared" ca="1" si="17"/>
        <v>23.319118036911391</v>
      </c>
      <c r="AD23" s="1">
        <f t="shared" ca="1" si="17"/>
        <v>24.998603426388279</v>
      </c>
      <c r="AE23" s="1">
        <f t="shared" ca="1" si="17"/>
        <v>26.626764925233434</v>
      </c>
      <c r="AF23" s="1">
        <f t="shared" ca="1" si="17"/>
        <v>28.197637332579372</v>
      </c>
      <c r="AG23" s="1">
        <f t="shared" ca="1" si="17"/>
        <v>29.707149467429669</v>
      </c>
      <c r="AH23" s="1">
        <f t="shared" ca="1" si="17"/>
        <v>31.152640326491323</v>
      </c>
      <c r="AI23" s="1">
        <f t="shared" ca="1" si="17"/>
        <v>32.532559123397483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8">wa*flt3_*(1-EXP(-za))/za</f>
        <v>4.1854311320925863E-5</v>
      </c>
      <c r="L24" s="1">
        <f t="shared" ca="1" si="18"/>
        <v>9.872014928965511E-4</v>
      </c>
      <c r="M24" s="1">
        <f t="shared" ca="1" si="18"/>
        <v>1.0572214912604837E-2</v>
      </c>
      <c r="N24" s="1">
        <f t="shared" ca="1" si="18"/>
        <v>8.0159535511421187E-2</v>
      </c>
      <c r="O24" s="1">
        <f t="shared" ca="1" si="18"/>
        <v>0.48886804886692053</v>
      </c>
      <c r="P24" s="1">
        <f t="shared" ca="1" si="18"/>
        <v>0.25900292541647946</v>
      </c>
      <c r="Q24" s="1">
        <f t="shared" ca="1" si="18"/>
        <v>5.8515644214852642</v>
      </c>
      <c r="R24" s="1">
        <f t="shared" ca="1" si="18"/>
        <v>14.311615219805843</v>
      </c>
      <c r="S24" s="1">
        <f t="shared" ca="1" si="18"/>
        <v>19.706840789284936</v>
      </c>
      <c r="T24" s="1">
        <f t="shared" ca="1" si="18"/>
        <v>23.124096514854106</v>
      </c>
      <c r="U24" s="1">
        <f t="shared" ca="1" si="18"/>
        <v>25.376467678557159</v>
      </c>
      <c r="V24" s="1">
        <f t="shared" ca="1" si="18"/>
        <v>26.763984728066532</v>
      </c>
      <c r="W24" s="1">
        <f t="shared" ca="1" si="18"/>
        <v>27.476340235691968</v>
      </c>
      <c r="X24" s="1">
        <f t="shared" ca="1" si="18"/>
        <v>27.787241980624</v>
      </c>
      <c r="Y24" s="1">
        <f t="shared" ca="1" si="18"/>
        <v>27.871304687462494</v>
      </c>
      <c r="Z24" s="1">
        <f t="shared" ca="1" si="18"/>
        <v>30.836157799933218</v>
      </c>
      <c r="AA24" s="1">
        <f t="shared" ca="1" si="18"/>
        <v>33.838144897438404</v>
      </c>
      <c r="AB24" s="1">
        <f t="shared" ca="1" si="18"/>
        <v>36.824664438883353</v>
      </c>
      <c r="AC24" s="1">
        <f t="shared" ca="1" si="18"/>
        <v>39.760947404792773</v>
      </c>
      <c r="AD24" s="1">
        <f t="shared" ca="1" si="18"/>
        <v>42.624603317182221</v>
      </c>
      <c r="AE24" s="1">
        <f t="shared" ca="1" si="18"/>
        <v>45.400747921777437</v>
      </c>
      <c r="AF24" s="1">
        <f t="shared" ca="1" si="18"/>
        <v>48.079210077561221</v>
      </c>
      <c r="AG24" s="1">
        <f t="shared" ca="1" si="18"/>
        <v>50.653048097750279</v>
      </c>
      <c r="AH24" s="1">
        <f t="shared" ca="1" si="18"/>
        <v>53.117724760490468</v>
      </c>
      <c r="AI24" s="1">
        <f t="shared" ca="1" si="18"/>
        <v>55.470595851919519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1.6236574174664054E-5</v>
      </c>
      <c r="L26">
        <f t="shared" ref="L26:AI26" ca="1" si="19">qa1_/wa</f>
        <v>4.1614371490798767E-5</v>
      </c>
      <c r="M26">
        <f t="shared" ca="1" si="19"/>
        <v>1.0553798197188612E-4</v>
      </c>
      <c r="N26">
        <f t="shared" ca="1" si="19"/>
        <v>2.684617112668616E-4</v>
      </c>
      <c r="O26">
        <f t="shared" ca="1" si="19"/>
        <v>6.8827633876051382E-4</v>
      </c>
      <c r="P26">
        <f t="shared" ca="1" si="19"/>
        <v>1.7747334128267555E-3</v>
      </c>
      <c r="Q26">
        <f t="shared" ca="1" si="19"/>
        <v>4.5146234842306553E-3</v>
      </c>
      <c r="R26">
        <f t="shared" ca="1" si="19"/>
        <v>1.1435363618177992E-2</v>
      </c>
      <c r="S26">
        <f t="shared" ca="1" si="19"/>
        <v>2.8730354977286515E-2</v>
      </c>
      <c r="T26">
        <f t="shared" ca="1" si="19"/>
        <v>7.0062369898548457E-2</v>
      </c>
      <c r="U26">
        <f t="shared" ca="1" si="19"/>
        <v>0.15920559695329695</v>
      </c>
      <c r="V26">
        <f t="shared" ca="1" si="19"/>
        <v>0.31529023715967425</v>
      </c>
      <c r="W26">
        <f t="shared" ca="1" si="19"/>
        <v>0.50984695580693074</v>
      </c>
      <c r="X26">
        <f t="shared" ca="1" si="19"/>
        <v>0.67126284319884766</v>
      </c>
      <c r="Y26">
        <f t="shared" ca="1" si="19"/>
        <v>0.76607329739315322</v>
      </c>
      <c r="Z26">
        <f t="shared" ca="1" si="19"/>
        <v>0.81013831819332593</v>
      </c>
      <c r="AA26">
        <f t="shared" ca="1" si="19"/>
        <v>0.82871045450875414</v>
      </c>
      <c r="AB26">
        <f t="shared" ca="1" si="19"/>
        <v>0.83617711323652932</v>
      </c>
      <c r="AC26">
        <f t="shared" ca="1" si="19"/>
        <v>0.83911945528257281</v>
      </c>
      <c r="AD26">
        <f t="shared" ca="1" si="19"/>
        <v>0.84026744274558296</v>
      </c>
      <c r="AE26">
        <f t="shared" ca="1" si="19"/>
        <v>0.8407112775659904</v>
      </c>
      <c r="AF26">
        <f t="shared" ca="1" si="19"/>
        <v>0.84087992687776791</v>
      </c>
      <c r="AG26">
        <f t="shared" ca="1" si="19"/>
        <v>0.84094120655416649</v>
      </c>
      <c r="AH26">
        <f t="shared" ca="1" si="19"/>
        <v>0.84096062007578765</v>
      </c>
      <c r="AI26">
        <f t="shared" ca="1" si="19"/>
        <v>0.84096371295558714</v>
      </c>
      <c r="AM26" s="44"/>
    </row>
    <row r="27" spans="1:39">
      <c r="A27" t="s">
        <v>14</v>
      </c>
      <c r="B27" s="28">
        <f ca="1">fbar*C27</f>
        <v>0.17730942796088436</v>
      </c>
      <c r="C27" s="36">
        <f ca="1">CHOOSE(C$25,E36,E39,1)</f>
        <v>2.1355594016930746</v>
      </c>
      <c r="E27" s="42">
        <f ca="1">f1_/(F4/(f1_*365*re*phib))</f>
        <v>214.25469778749164</v>
      </c>
      <c r="J27" s="8" t="s">
        <v>31</v>
      </c>
      <c r="K27">
        <f t="shared" ref="K27:AI27" ca="1" si="20">qa2_/wa</f>
        <v>6.4896117175908688E-3</v>
      </c>
      <c r="L27">
        <f t="shared" ca="1" si="20"/>
        <v>8.3666794128370151E-2</v>
      </c>
      <c r="M27">
        <f t="shared" ca="1" si="20"/>
        <v>0.56718368826084919</v>
      </c>
      <c r="N27">
        <f t="shared" ca="1" si="20"/>
        <v>0.90368218464799144</v>
      </c>
      <c r="O27">
        <f t="shared" ca="1" si="20"/>
        <v>0.87238896184107162</v>
      </c>
      <c r="P27">
        <f t="shared" ca="1" si="20"/>
        <v>0.6466083768710158</v>
      </c>
      <c r="Q27">
        <f t="shared" ca="1" si="20"/>
        <v>0.59019378745385309</v>
      </c>
      <c r="R27">
        <f t="shared" ca="1" si="20"/>
        <v>0.53881503860545688</v>
      </c>
      <c r="S27">
        <f t="shared" ca="1" si="20"/>
        <v>0.49372992877944394</v>
      </c>
      <c r="T27">
        <f t="shared" ca="1" si="20"/>
        <v>0.45204704781337296</v>
      </c>
      <c r="U27">
        <f t="shared" ca="1" si="20"/>
        <v>0.41207524309034632</v>
      </c>
      <c r="V27">
        <f t="shared" ca="1" si="20"/>
        <v>0.37309604668813079</v>
      </c>
      <c r="W27">
        <f t="shared" ca="1" si="20"/>
        <v>0.33630732099497335</v>
      </c>
      <c r="X27">
        <f t="shared" ca="1" si="20"/>
        <v>0.30396966607334297</v>
      </c>
      <c r="Y27">
        <f t="shared" ca="1" si="20"/>
        <v>0.27654725144017828</v>
      </c>
      <c r="Z27">
        <f t="shared" ca="1" si="20"/>
        <v>0.2752445622466948</v>
      </c>
      <c r="AA27">
        <f t="shared" ca="1" si="20"/>
        <v>0.27469425782121631</v>
      </c>
      <c r="AB27">
        <f t="shared" ca="1" si="20"/>
        <v>0.27447280396089024</v>
      </c>
      <c r="AC27">
        <f t="shared" ca="1" si="20"/>
        <v>0.27438550345843721</v>
      </c>
      <c r="AD27">
        <f t="shared" ca="1" si="20"/>
        <v>0.27435143705578574</v>
      </c>
      <c r="AE27">
        <f t="shared" ca="1" si="20"/>
        <v>0.27433826553204493</v>
      </c>
      <c r="AF27">
        <f t="shared" ca="1" si="20"/>
        <v>0.27433326047489248</v>
      </c>
      <c r="AG27">
        <f t="shared" ca="1" si="20"/>
        <v>0.27433144184377545</v>
      </c>
      <c r="AH27">
        <f t="shared" ca="1" si="20"/>
        <v>0.27433086569615567</v>
      </c>
      <c r="AI27">
        <f t="shared" ca="1" si="20"/>
        <v>0.27433077390668803</v>
      </c>
    </row>
    <row r="28" spans="1:39">
      <c r="A28" t="s">
        <v>15</v>
      </c>
      <c r="B28" s="28">
        <f ca="1">fbar*C28</f>
        <v>4.4372210431385416E-2</v>
      </c>
      <c r="C28" s="36">
        <f ca="1">CHOOSE(C$25,E37,E40,1)</f>
        <v>0.53443007656396713</v>
      </c>
      <c r="E28" s="42">
        <f ca="1">f2_/(F5/(f2_*365*re*phib))</f>
        <v>35.978763878911352</v>
      </c>
      <c r="J28" s="8" t="s">
        <v>32</v>
      </c>
      <c r="K28">
        <f t="shared" ref="K28:AI28" ca="1" si="21">qa3_/wa</f>
        <v>5.9656747759079254E-4</v>
      </c>
      <c r="L28">
        <f t="shared" ca="1" si="21"/>
        <v>2.135012164483063E-3</v>
      </c>
      <c r="M28">
        <f t="shared" ca="1" si="21"/>
        <v>7.542588564426995E-3</v>
      </c>
      <c r="N28">
        <f t="shared" ca="1" si="21"/>
        <v>2.6487431204728126E-2</v>
      </c>
      <c r="O28">
        <f t="shared" ca="1" si="21"/>
        <v>9.0549332962529344E-2</v>
      </c>
      <c r="P28">
        <f t="shared" ca="1" si="21"/>
        <v>3.0386610671990548E-2</v>
      </c>
      <c r="Q28">
        <f t="shared" ca="1" si="21"/>
        <v>0.47332639809322846</v>
      </c>
      <c r="R28">
        <f t="shared" ca="1" si="21"/>
        <v>0.84932883810685234</v>
      </c>
      <c r="S28">
        <f t="shared" ca="1" si="21"/>
        <v>0.89965824969052544</v>
      </c>
      <c r="T28">
        <f t="shared" ca="1" si="21"/>
        <v>0.84287205357900863</v>
      </c>
      <c r="U28">
        <f t="shared" ca="1" si="21"/>
        <v>0.76096088069649392</v>
      </c>
      <c r="V28">
        <f t="shared" ca="1" si="21"/>
        <v>0.67665440423042278</v>
      </c>
      <c r="W28">
        <f t="shared" ca="1" si="21"/>
        <v>0.59775360244326259</v>
      </c>
      <c r="X28">
        <f t="shared" ca="1" si="21"/>
        <v>0.52920566745105158</v>
      </c>
      <c r="Y28">
        <f t="shared" ca="1" si="21"/>
        <v>0.47153501697825451</v>
      </c>
      <c r="Z28">
        <f t="shared" ca="1" si="21"/>
        <v>0.46931382849141284</v>
      </c>
      <c r="AA28">
        <f t="shared" ca="1" si="21"/>
        <v>0.46837551576091241</v>
      </c>
      <c r="AB28">
        <f t="shared" ca="1" si="21"/>
        <v>0.46799791934928675</v>
      </c>
      <c r="AC28">
        <f t="shared" ca="1" si="21"/>
        <v>0.46784906506238993</v>
      </c>
      <c r="AD28">
        <f t="shared" ca="1" si="21"/>
        <v>0.46779097914156104</v>
      </c>
      <c r="AE28">
        <f t="shared" ca="1" si="21"/>
        <v>0.46776852064798186</v>
      </c>
      <c r="AF28">
        <f t="shared" ca="1" si="21"/>
        <v>0.46775998662821838</v>
      </c>
      <c r="AG28">
        <f t="shared" ca="1" si="21"/>
        <v>0.46775688571779456</v>
      </c>
      <c r="AH28">
        <f t="shared" ca="1" si="21"/>
        <v>0.46775590334036632</v>
      </c>
      <c r="AI28">
        <f t="shared" ca="1" si="21"/>
        <v>0.46775574683203741</v>
      </c>
    </row>
    <row r="29" spans="1:39">
      <c r="A29" t="s">
        <v>19</v>
      </c>
      <c r="B29" s="28">
        <f ca="1">fbar*C29</f>
        <v>2.7399835745578881E-2</v>
      </c>
      <c r="C29" s="36">
        <f ca="1">CHOOSE(C$25,E38,E41,1)</f>
        <v>0.33001052174295842</v>
      </c>
      <c r="E29" s="42">
        <f ca="1">f3_/(F6/(f3_*365*re*phib))</f>
        <v>18.042040215151616</v>
      </c>
    </row>
    <row r="30" spans="1:39">
      <c r="A30" t="s">
        <v>95</v>
      </c>
      <c r="B30" s="28">
        <v>8.3027158045949553E-2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0.24908147413784867</v>
      </c>
      <c r="G31">
        <f ca="1">SUMPRODUCT(dlz1_,wa,ma)</f>
        <v>-66.453719448675997</v>
      </c>
      <c r="H31">
        <f ca="1">Ro/(reck-1)*phie/phif^2*dphif</f>
        <v>-8894.3101391229393</v>
      </c>
      <c r="J31" s="8" t="s">
        <v>52</v>
      </c>
      <c r="K31">
        <v>0</v>
      </c>
      <c r="L31">
        <f t="shared" ref="L31:AH31" ca="1" si="22">K31*sa-K$7*K18*K$10</f>
        <v>-1.5046711678714934E-5</v>
      </c>
      <c r="M31">
        <f t="shared" ca="1" si="22"/>
        <v>-4.5715155606712315E-5</v>
      </c>
      <c r="N31">
        <f t="shared" ca="1" si="22"/>
        <v>-1.0874516010275632E-4</v>
      </c>
      <c r="O31">
        <f t="shared" ca="1" si="22"/>
        <v>-2.3956714175703349E-4</v>
      </c>
      <c r="P31">
        <f t="shared" ca="1" si="22"/>
        <v>-5.1620894214533938E-4</v>
      </c>
      <c r="Q31">
        <f t="shared" ca="1" si="22"/>
        <v>-1.1011351610735643E-3</v>
      </c>
      <c r="R31">
        <f t="shared" ca="1" si="22"/>
        <v>-2.3216645754108403E-3</v>
      </c>
      <c r="S31">
        <f t="shared" ca="1" si="22"/>
        <v>-4.8424151051853857E-3</v>
      </c>
      <c r="T31">
        <f t="shared" ca="1" si="22"/>
        <v>-9.962064748226666E-3</v>
      </c>
      <c r="U31">
        <f t="shared" ca="1" si="22"/>
        <v>-1.990496586171759E-2</v>
      </c>
      <c r="V31">
        <f t="shared" ca="1" si="22"/>
        <v>-3.7279622647758408E-2</v>
      </c>
      <c r="W31">
        <f t="shared" ca="1" si="22"/>
        <v>-6.1898476683467124E-2</v>
      </c>
      <c r="X31">
        <f t="shared" ca="1" si="22"/>
        <v>-8.6740430683538636E-2</v>
      </c>
      <c r="Y31">
        <f t="shared" ca="1" si="22"/>
        <v>-0.10231077708042845</v>
      </c>
      <c r="Z31">
        <f t="shared" ca="1" si="22"/>
        <v>-0.10533695585505837</v>
      </c>
      <c r="AA31">
        <f t="shared" ca="1" si="22"/>
        <v>-9.8804908510208816E-2</v>
      </c>
      <c r="AB31">
        <f t="shared" ca="1" si="22"/>
        <v>-8.7115471207646011E-2</v>
      </c>
      <c r="AC31">
        <f t="shared" ca="1" si="22"/>
        <v>-7.3648042695779847E-2</v>
      </c>
      <c r="AD31">
        <f t="shared" ca="1" si="22"/>
        <v>-6.0442420019869443E-2</v>
      </c>
      <c r="AE31">
        <f t="shared" ca="1" si="22"/>
        <v>-4.8534468817320535E-2</v>
      </c>
      <c r="AF31">
        <f t="shared" ca="1" si="22"/>
        <v>-3.8330128080745353E-2</v>
      </c>
      <c r="AG31">
        <f t="shared" ca="1" si="22"/>
        <v>-2.9878565506159135E-2</v>
      </c>
      <c r="AH31">
        <f t="shared" ca="1" si="22"/>
        <v>-2.3046835528374623E-2</v>
      </c>
      <c r="AI31">
        <f ca="1">(AH31*sa-AH$7*AH18*AH$10)/oa-AH$7*AH$10*flt1_*sa/oa^2</f>
        <v>-7.0318663431168105E-2</v>
      </c>
    </row>
    <row r="32" spans="1:39">
      <c r="A32" s="12" t="s">
        <v>22</v>
      </c>
      <c r="B32" s="12"/>
      <c r="C32" s="12"/>
      <c r="G32">
        <f ca="1">SUMPRODUCT(dlz2_,wa,ma)</f>
        <v>-169.03381867492126</v>
      </c>
      <c r="H32">
        <f ca="1">Ro/(reck-1)*phie/phif^2*dphif</f>
        <v>-22623.853409080697</v>
      </c>
      <c r="J32" s="8" t="s">
        <v>53</v>
      </c>
      <c r="K32">
        <v>0</v>
      </c>
      <c r="L32">
        <f t="shared" ref="L32:AH32" ca="1" si="23">K32*sa-K$7*K19*K$10</f>
        <v>-6.0140344490755351E-3</v>
      </c>
      <c r="M32">
        <f t="shared" ca="1" si="23"/>
        <v>-7.162013695147762E-2</v>
      </c>
      <c r="N32">
        <f t="shared" ca="1" si="23"/>
        <v>-0.4411927457622723</v>
      </c>
      <c r="O32">
        <f t="shared" ca="1" si="23"/>
        <v>-0.86821698574701944</v>
      </c>
      <c r="P32">
        <f t="shared" ca="1" si="23"/>
        <v>-1.124612708328681</v>
      </c>
      <c r="Q32">
        <f t="shared" ca="1" si="23"/>
        <v>-1.1726069632799676</v>
      </c>
      <c r="R32">
        <f t="shared" ca="1" si="23"/>
        <v>-1.1419981008174027</v>
      </c>
      <c r="S32">
        <f t="shared" ca="1" si="23"/>
        <v>-1.067536853537882</v>
      </c>
      <c r="T32">
        <f t="shared" ca="1" si="23"/>
        <v>-0.9677450078367702</v>
      </c>
      <c r="U32">
        <f t="shared" ca="1" si="23"/>
        <v>-0.84969382128368631</v>
      </c>
      <c r="V32">
        <f t="shared" ca="1" si="23"/>
        <v>-0.71625054353886142</v>
      </c>
      <c r="W32">
        <f t="shared" ca="1" si="23"/>
        <v>-0.57607405786499444</v>
      </c>
      <c r="X32">
        <f t="shared" ca="1" si="23"/>
        <v>-0.44512961102472742</v>
      </c>
      <c r="Y32">
        <f t="shared" ca="1" si="23"/>
        <v>-0.33521955848840651</v>
      </c>
      <c r="Z32">
        <f t="shared" ca="1" si="23"/>
        <v>-0.24823340873928951</v>
      </c>
      <c r="AA32">
        <f t="shared" ca="1" si="23"/>
        <v>-0.18264768020823435</v>
      </c>
      <c r="AB32">
        <f t="shared" ca="1" si="23"/>
        <v>-0.1338828179926928</v>
      </c>
      <c r="AC32">
        <f t="shared" ca="1" si="23"/>
        <v>-9.7881466167444739E-2</v>
      </c>
      <c r="AD32">
        <f t="shared" ca="1" si="23"/>
        <v>-7.1413821068278913E-2</v>
      </c>
      <c r="AE32">
        <f t="shared" ca="1" si="23"/>
        <v>-5.201156057391447E-2</v>
      </c>
      <c r="AF32">
        <f t="shared" ca="1" si="23"/>
        <v>-3.7821173386653702E-2</v>
      </c>
      <c r="AG32">
        <f t="shared" ca="1" si="23"/>
        <v>-2.7462949464957871E-2</v>
      </c>
      <c r="AH32">
        <f t="shared" ca="1" si="23"/>
        <v>-1.9915190325463336E-2</v>
      </c>
      <c r="AI32">
        <f ca="1">(AH32*sa-AH$7*AH19*AH$10)/oa-AH$7*AH$10*flt2_*sa/oa^2</f>
        <v>-5.1831536853036084E-2</v>
      </c>
    </row>
    <row r="33" spans="1:35">
      <c r="A33" s="59" t="s">
        <v>130</v>
      </c>
      <c r="B33" s="60">
        <f ca="1">SUMPRODUCT(lz,wa)</f>
        <v>60.139227564541976</v>
      </c>
      <c r="C33" s="59"/>
      <c r="D33" s="61"/>
      <c r="E33" s="61"/>
      <c r="G33">
        <f ca="1">SUMPRODUCT(dlz3_,wa,ma)</f>
        <v>-148.01716806790995</v>
      </c>
      <c r="H33">
        <f ca="1">Ro/(reck-1)*phie/phif^2*dphif</f>
        <v>-19810.939246635433</v>
      </c>
      <c r="J33" s="8" t="s">
        <v>54</v>
      </c>
      <c r="K33">
        <v>0</v>
      </c>
      <c r="L33">
        <f t="shared" ref="L33:AH33" ca="1" si="24">K33*sa-K$7*K20*K$10</f>
        <v>-5.5284931018353902E-4</v>
      </c>
      <c r="M33">
        <f t="shared" ca="1" si="24"/>
        <v>-2.161960742602843E-3</v>
      </c>
      <c r="N33">
        <f t="shared" ca="1" si="24"/>
        <v>-6.8623811838097971E-3</v>
      </c>
      <c r="O33">
        <f t="shared" ca="1" si="24"/>
        <v>-2.0456365582969156E-2</v>
      </c>
      <c r="P33">
        <f t="shared" ca="1" si="24"/>
        <v>-5.8697731889225668E-2</v>
      </c>
      <c r="Q33">
        <f t="shared" ca="1" si="24"/>
        <v>-5.9922144253543294E-2</v>
      </c>
      <c r="R33">
        <f t="shared" ca="1" si="24"/>
        <v>-0.19815078740559577</v>
      </c>
      <c r="S33">
        <f t="shared" ca="1" si="24"/>
        <v>-0.38056002110375892</v>
      </c>
      <c r="T33">
        <f t="shared" ca="1" si="24"/>
        <v>-0.49720530156324361</v>
      </c>
      <c r="U33">
        <f t="shared" ca="1" si="24"/>
        <v>-0.54071923892909424</v>
      </c>
      <c r="V33">
        <f t="shared" ca="1" si="24"/>
        <v>-0.52416599545171783</v>
      </c>
      <c r="W33">
        <f t="shared" ca="1" si="24"/>
        <v>-0.46511900930358141</v>
      </c>
      <c r="X33">
        <f t="shared" ca="1" si="24"/>
        <v>-0.38619176452103504</v>
      </c>
      <c r="Y33">
        <f t="shared" ca="1" si="24"/>
        <v>-0.3068789652595193</v>
      </c>
      <c r="Z33">
        <f t="shared" ca="1" si="24"/>
        <v>-0.23672099802625529</v>
      </c>
      <c r="AA33">
        <f t="shared" ca="1" si="24"/>
        <v>-0.18053080700055796</v>
      </c>
      <c r="AB33">
        <f t="shared" ca="1" si="24"/>
        <v>-0.13658338923006785</v>
      </c>
      <c r="AC33">
        <f t="shared" ca="1" si="24"/>
        <v>-0.10270265522733613</v>
      </c>
      <c r="AD33">
        <f t="shared" ca="1" si="24"/>
        <v>-7.6839622077817485E-2</v>
      </c>
      <c r="AE33">
        <f t="shared" ca="1" si="24"/>
        <v>-5.7244368597046687E-2</v>
      </c>
      <c r="AF33">
        <f t="shared" ca="1" si="24"/>
        <v>-4.2487734966941318E-2</v>
      </c>
      <c r="AG33">
        <f t="shared" ca="1" si="24"/>
        <v>-3.1431549829232547E-2</v>
      </c>
      <c r="AH33">
        <f t="shared" ca="1" si="24"/>
        <v>-2.3184264850238133E-2</v>
      </c>
      <c r="AI33">
        <f ca="1">(AH33*sa-AH$7*AH20*AH$10)/oa-AH$7*AH$10*flt3_*sa/oa^2</f>
        <v>-6.3269785783772556E-2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26.061965753177596</v>
      </c>
      <c r="F35" s="37"/>
      <c r="G35" s="1">
        <f ca="1">SUM(dqa11_)</f>
        <v>858.56651676045624</v>
      </c>
      <c r="H35" s="1">
        <f ca="1">SUM(dqa12_)</f>
        <v>862.16739441107791</v>
      </c>
      <c r="I35" s="11">
        <f ca="1">SUM(dqa13_)</f>
        <v>859.87845032818825</v>
      </c>
      <c r="J35" s="8" t="s">
        <v>62</v>
      </c>
      <c r="K35">
        <f ca="1">flt1_*qa1_+lz*wa*flt1_^2/za*(sa-oa/za)</f>
        <v>1.0209811463628229E-11</v>
      </c>
      <c r="L35">
        <f t="shared" ref="L35:AI35" ca="1" si="25">flt1_*qa1_+lz*wa*flt1_^2/za*(sa-oa/za)</f>
        <v>5.018457533253016E-10</v>
      </c>
      <c r="M35">
        <f t="shared" ca="1" si="25"/>
        <v>1.0942337252076487E-8</v>
      </c>
      <c r="N35">
        <f t="shared" ca="1" si="25"/>
        <v>1.6835710417897503E-7</v>
      </c>
      <c r="O35">
        <f t="shared" ca="1" si="25"/>
        <v>2.1236986883681963E-6</v>
      </c>
      <c r="P35">
        <f t="shared" ca="1" si="25"/>
        <v>2.3422602355194288E-5</v>
      </c>
      <c r="Q35">
        <f t="shared" ca="1" si="25"/>
        <v>2.3050967663174147E-4</v>
      </c>
      <c r="R35">
        <f t="shared" ca="1" si="25"/>
        <v>2.0989664552058139E-3</v>
      </c>
      <c r="S35">
        <f t="shared" ca="1" si="25"/>
        <v>1.7759951307680558E-2</v>
      </c>
      <c r="T35">
        <f t="shared" ca="1" si="25"/>
        <v>0.13573132493484866</v>
      </c>
      <c r="U35">
        <f t="shared" ca="1" si="25"/>
        <v>0.87416387027081588</v>
      </c>
      <c r="V35">
        <f t="shared" ca="1" si="25"/>
        <v>4.1886440471676742</v>
      </c>
      <c r="W35">
        <f t="shared" ca="1" si="25"/>
        <v>13.141855395675854</v>
      </c>
      <c r="X35">
        <f t="shared" ca="1" si="25"/>
        <v>26.738391174415593</v>
      </c>
      <c r="Y35">
        <f t="shared" ca="1" si="25"/>
        <v>39.920393105345475</v>
      </c>
      <c r="Z35">
        <f t="shared" ca="1" si="25"/>
        <v>50.223374816985611</v>
      </c>
      <c r="AA35">
        <f t="shared" ca="1" si="25"/>
        <v>58.201769959793154</v>
      </c>
      <c r="AB35">
        <f t="shared" ca="1" si="25"/>
        <v>64.827234825935079</v>
      </c>
      <c r="AC35">
        <f t="shared" ca="1" si="25"/>
        <v>70.717032901622318</v>
      </c>
      <c r="AD35">
        <f t="shared" ca="1" si="25"/>
        <v>76.174175619295639</v>
      </c>
      <c r="AE35">
        <f t="shared" ca="1" si="25"/>
        <v>81.331654339561183</v>
      </c>
      <c r="AF35">
        <f t="shared" ca="1" si="25"/>
        <v>86.243773658084521</v>
      </c>
      <c r="AG35">
        <f t="shared" ca="1" si="25"/>
        <v>90.931307741062142</v>
      </c>
      <c r="AH35">
        <f t="shared" ca="1" si="25"/>
        <v>95.401871851716848</v>
      </c>
      <c r="AI35">
        <f t="shared" ca="1" si="25"/>
        <v>99.49502697503749</v>
      </c>
    </row>
    <row r="36" spans="1:35">
      <c r="A36" t="s">
        <v>33</v>
      </c>
      <c r="B36" s="1">
        <f ca="1">SUMPRODUCT(lz,ta1_)</f>
        <v>0.32763099387053274</v>
      </c>
      <c r="C36" s="29">
        <f ca="1">B11/(phi_t1/SUM(B$36:B$38))</f>
        <v>3.2626547679671614</v>
      </c>
      <c r="E36" s="38">
        <f ca="1">C36/AVERAGE(C$36:C$38)</f>
        <v>2.0528165007688739</v>
      </c>
      <c r="G36" s="1">
        <f ca="1">SUM(dqa21_)</f>
        <v>862.16739441107791</v>
      </c>
      <c r="H36" s="1">
        <f ca="1">SUM(dqa22_)</f>
        <v>139.48175783202905</v>
      </c>
      <c r="I36" s="11">
        <f ca="1">SUM(dqa23_)</f>
        <v>857.70699700737862</v>
      </c>
      <c r="J36" s="8" t="s">
        <v>63</v>
      </c>
      <c r="K36">
        <f t="shared" ref="K36:AI36" ca="1" si="26">flt2_*qa2_+lz*wa*flt2_^2/za*(sa-oa/za)</f>
        <v>1.6310465159357711E-6</v>
      </c>
      <c r="L36">
        <f t="shared" ca="1" si="26"/>
        <v>2.02856921580167E-3</v>
      </c>
      <c r="M36">
        <f t="shared" ca="1" si="26"/>
        <v>0.31603849829943231</v>
      </c>
      <c r="N36">
        <f t="shared" ca="1" si="26"/>
        <v>1.9076477290558975</v>
      </c>
      <c r="O36">
        <f t="shared" ca="1" si="26"/>
        <v>3.4118312518097427</v>
      </c>
      <c r="P36">
        <f t="shared" ca="1" si="26"/>
        <v>3.1092206762479373</v>
      </c>
      <c r="Q36">
        <f t="shared" ca="1" si="26"/>
        <v>3.9394478536245079</v>
      </c>
      <c r="R36">
        <f t="shared" ca="1" si="26"/>
        <v>4.6599897098263456</v>
      </c>
      <c r="S36">
        <f t="shared" ca="1" si="26"/>
        <v>5.2449179037233264</v>
      </c>
      <c r="T36">
        <f t="shared" ca="1" si="26"/>
        <v>5.6503807825611183</v>
      </c>
      <c r="U36">
        <f t="shared" ca="1" si="26"/>
        <v>5.8563798385112014</v>
      </c>
      <c r="V36">
        <f t="shared" ca="1" si="26"/>
        <v>5.8653469064321611</v>
      </c>
      <c r="W36">
        <f t="shared" ca="1" si="26"/>
        <v>5.7180726117984397</v>
      </c>
      <c r="X36">
        <f t="shared" ca="1" si="26"/>
        <v>5.4829028294435949</v>
      </c>
      <c r="Y36">
        <f t="shared" ca="1" si="26"/>
        <v>5.2022695728500681</v>
      </c>
      <c r="Z36">
        <f t="shared" ca="1" si="26"/>
        <v>5.7972901855426535</v>
      </c>
      <c r="AA36">
        <f t="shared" ca="1" si="26"/>
        <v>6.3948405306750713</v>
      </c>
      <c r="AB36">
        <f t="shared" ca="1" si="26"/>
        <v>6.9848901836859838</v>
      </c>
      <c r="AC36">
        <f t="shared" ca="1" si="26"/>
        <v>7.5613401413907173</v>
      </c>
      <c r="AD36">
        <f t="shared" ca="1" si="26"/>
        <v>8.120582230833131</v>
      </c>
      <c r="AE36">
        <f t="shared" ca="1" si="26"/>
        <v>8.6604136701939325</v>
      </c>
      <c r="AF36">
        <f t="shared" ca="1" si="26"/>
        <v>9.1794510610475637</v>
      </c>
      <c r="AG36">
        <f t="shared" ca="1" si="26"/>
        <v>9.6768351316365138</v>
      </c>
      <c r="AH36">
        <f t="shared" ca="1" si="26"/>
        <v>10.152077513781069</v>
      </c>
      <c r="AI36">
        <f t="shared" ca="1" si="26"/>
        <v>10.587560818796298</v>
      </c>
    </row>
    <row r="37" spans="1:35">
      <c r="A37" t="s">
        <v>34</v>
      </c>
      <c r="B37" s="1">
        <f ca="1">SUMPRODUCT(lz,ta2_)</f>
        <v>2.5405267185659515</v>
      </c>
      <c r="C37" s="29">
        <f ca="1">B12/(phi_t2/SUM(B$36:B$38))</f>
        <v>0.90114868090096123</v>
      </c>
      <c r="E37" s="38">
        <f ca="1">C37/AVERAGE(C$36:C$38)</f>
        <v>0.56699007812959545</v>
      </c>
      <c r="G37" s="1">
        <f ca="1">SUM(dqa31_)</f>
        <v>859.87845032818825</v>
      </c>
      <c r="H37" s="1">
        <f ca="1">SUM(dqa32_)</f>
        <v>857.70699700737862</v>
      </c>
      <c r="I37" s="1">
        <f ca="1">SUM(dqa33_)</f>
        <v>381.92832549618129</v>
      </c>
      <c r="J37" s="8" t="s">
        <v>64</v>
      </c>
      <c r="K37">
        <f t="shared" ref="K37:AI37" ca="1" si="27">flt3_*qa3_+lz*wa*flt3_^2/za*(sa-oa/za)</f>
        <v>1.3783136845388728E-8</v>
      </c>
      <c r="L37">
        <f t="shared" ca="1" si="27"/>
        <v>1.3209436196047437E-6</v>
      </c>
      <c r="M37">
        <f t="shared" ca="1" si="27"/>
        <v>5.5889903707112195E-5</v>
      </c>
      <c r="N37">
        <f t="shared" ca="1" si="27"/>
        <v>1.6388772330278734E-3</v>
      </c>
      <c r="O37">
        <f t="shared" ca="1" si="27"/>
        <v>3.6756802937876809E-2</v>
      </c>
      <c r="P37">
        <f t="shared" ca="1" si="27"/>
        <v>6.8664682587963426E-3</v>
      </c>
      <c r="Q37">
        <f t="shared" ca="1" si="27"/>
        <v>2.5337720520188141</v>
      </c>
      <c r="R37">
        <f t="shared" ca="1" si="27"/>
        <v>11.578632802675365</v>
      </c>
      <c r="S37">
        <f t="shared" ca="1" si="27"/>
        <v>17.414656810747292</v>
      </c>
      <c r="T37">
        <f t="shared" ca="1" si="27"/>
        <v>19.644173017171202</v>
      </c>
      <c r="U37">
        <f t="shared" ca="1" si="27"/>
        <v>19.971047853659311</v>
      </c>
      <c r="V37">
        <f t="shared" ca="1" si="27"/>
        <v>19.292398978962485</v>
      </c>
      <c r="W37">
        <f t="shared" ca="1" si="27"/>
        <v>18.064312071148795</v>
      </c>
      <c r="X37">
        <f t="shared" ca="1" si="27"/>
        <v>16.618775823249276</v>
      </c>
      <c r="Y37">
        <f t="shared" ca="1" si="27"/>
        <v>15.124535979362658</v>
      </c>
      <c r="Z37">
        <f t="shared" ca="1" si="27"/>
        <v>16.854436850339837</v>
      </c>
      <c r="AA37">
        <f t="shared" ca="1" si="27"/>
        <v>18.591692401571208</v>
      </c>
      <c r="AB37">
        <f t="shared" ca="1" si="27"/>
        <v>20.307141222821901</v>
      </c>
      <c r="AC37">
        <f t="shared" ca="1" si="27"/>
        <v>21.98305170833541</v>
      </c>
      <c r="AD37">
        <f t="shared" ca="1" si="27"/>
        <v>23.608933832377648</v>
      </c>
      <c r="AE37">
        <f t="shared" ca="1" si="27"/>
        <v>25.178383456828868</v>
      </c>
      <c r="AF37">
        <f t="shared" ca="1" si="27"/>
        <v>26.68737863338977</v>
      </c>
      <c r="AG37">
        <f t="shared" ca="1" si="27"/>
        <v>28.133421204971292</v>
      </c>
      <c r="AH37">
        <f t="shared" ca="1" si="27"/>
        <v>29.515091340862668</v>
      </c>
      <c r="AI37">
        <f t="shared" ca="1" si="27"/>
        <v>30.781170082627327</v>
      </c>
    </row>
    <row r="38" spans="1:35">
      <c r="A38" t="s">
        <v>35</v>
      </c>
      <c r="B38" s="1">
        <f ca="1">SUMPRODUCT(lz,ta3_)</f>
        <v>1.2386526951501218</v>
      </c>
      <c r="C38" s="29">
        <f ca="1">B13/(phi_t3/SUM(B$36:B$38))</f>
        <v>0.6042624256196566</v>
      </c>
      <c r="E38" s="38">
        <f ca="1">C38/AVERAGE(C$36:C$38)</f>
        <v>0.38019342110153059</v>
      </c>
      <c r="G38" t="s">
        <v>69</v>
      </c>
      <c r="J38" s="8" t="s">
        <v>60</v>
      </c>
      <c r="K38">
        <f t="shared" ref="K38:AI38" ca="1" si="28">flt1_*qa1_+lz*wa*flt2_*flt1_/za*(sa-oa/za)</f>
        <v>-3.8614315408386274E-9</v>
      </c>
      <c r="L38">
        <f t="shared" ca="1" si="28"/>
        <v>-7.2728172756949731E-7</v>
      </c>
      <c r="M38">
        <f t="shared" ca="1" si="28"/>
        <v>-3.2755772477872176E-5</v>
      </c>
      <c r="N38">
        <f t="shared" ca="1" si="28"/>
        <v>-2.4114700679523138E-4</v>
      </c>
      <c r="O38">
        <f t="shared" ca="1" si="28"/>
        <v>-8.7431827530043351E-4</v>
      </c>
      <c r="P38">
        <f t="shared" ca="1" si="28"/>
        <v>-2.1385538817946179E-3</v>
      </c>
      <c r="Q38">
        <f t="shared" ca="1" si="28"/>
        <v>-5.8264315053126979E-3</v>
      </c>
      <c r="R38">
        <f t="shared" ca="1" si="28"/>
        <v>-1.346159024574012E-2</v>
      </c>
      <c r="S38">
        <f t="shared" ca="1" si="28"/>
        <v>-1.8797324617371637E-2</v>
      </c>
      <c r="T38">
        <f t="shared" ca="1" si="28"/>
        <v>6.1069731607153746E-2</v>
      </c>
      <c r="U38">
        <f t="shared" ca="1" si="28"/>
        <v>0.76322467021591633</v>
      </c>
      <c r="V38">
        <f t="shared" ca="1" si="28"/>
        <v>4.140680595574123</v>
      </c>
      <c r="W38">
        <f t="shared" ca="1" si="28"/>
        <v>13.354351383260539</v>
      </c>
      <c r="X38">
        <f t="shared" ca="1" si="28"/>
        <v>27.249241205928733</v>
      </c>
      <c r="Y38">
        <f t="shared" ca="1" si="28"/>
        <v>40.557718707176711</v>
      </c>
      <c r="Z38">
        <f t="shared" ca="1" si="28"/>
        <v>50.807824896402735</v>
      </c>
      <c r="AA38">
        <f t="shared" ca="1" si="28"/>
        <v>58.682189828097165</v>
      </c>
      <c r="AB38">
        <f t="shared" ca="1" si="28"/>
        <v>65.203048170104609</v>
      </c>
      <c r="AC38">
        <f t="shared" ca="1" si="28"/>
        <v>71.00397921206914</v>
      </c>
      <c r="AD38">
        <f t="shared" ca="1" si="28"/>
        <v>76.390310222180091</v>
      </c>
      <c r="AE38">
        <f t="shared" ca="1" si="28"/>
        <v>81.492999766989655</v>
      </c>
      <c r="AF38">
        <f t="shared" ca="1" si="28"/>
        <v>86.363407946598272</v>
      </c>
      <c r="AG38">
        <f t="shared" ca="1" si="28"/>
        <v>91.019522924646424</v>
      </c>
      <c r="AH38">
        <f t="shared" ca="1" si="28"/>
        <v>95.466608863032405</v>
      </c>
      <c r="AI38">
        <f t="shared" ca="1" si="28"/>
        <v>99.652589139642131</v>
      </c>
    </row>
    <row r="39" spans="1:35">
      <c r="A39" s="1" t="s">
        <v>36</v>
      </c>
      <c r="B39" s="1">
        <f ca="1">SUMPRODUCT(lz,qa1_)</f>
        <v>18.193815335827018</v>
      </c>
      <c r="C39" s="23">
        <f ca="1">B4/(phi_q1/SUM(B$39:B$41))</f>
        <v>2.6111116595762223</v>
      </c>
      <c r="D39" s="21"/>
      <c r="E39" s="39">
        <f ca="1">C39/AVERAGE(C$39:C$41)</f>
        <v>2.1355594016930746</v>
      </c>
      <c r="G39" s="1">
        <f ca="1">re*phi_q1+f1_*phi_q1*$H31+f1_*re*G35</f>
        <v>1265160.8615054986</v>
      </c>
      <c r="H39" s="1">
        <f ca="1">re*phi_q1+f1_*phi_q1*$H32+f1_*re*H35</f>
        <v>1225717.4372044774</v>
      </c>
      <c r="I39" s="1">
        <f ca="1">re*phi_q1+f1_*phi_q1*$H33+f1_*re*I35</f>
        <v>1231710.537078988</v>
      </c>
      <c r="J39" s="8" t="s">
        <v>66</v>
      </c>
      <c r="K39">
        <f t="shared" ref="K39:AI39" ca="1" si="29">flt1_*qa1_+lz*wa*flt3_*flt1_/za*(sa-oa/za)</f>
        <v>-3.3687854258765338E-10</v>
      </c>
      <c r="L39">
        <f t="shared" ca="1" si="29"/>
        <v>-1.7716835875812694E-8</v>
      </c>
      <c r="M39">
        <f t="shared" ca="1" si="29"/>
        <v>-4.1878276391981612E-7</v>
      </c>
      <c r="N39">
        <f t="shared" ca="1" si="29"/>
        <v>-6.8351231438460934E-6</v>
      </c>
      <c r="O39">
        <f t="shared" ca="1" si="29"/>
        <v>-8.8226123402997597E-5</v>
      </c>
      <c r="P39">
        <f t="shared" ca="1" si="29"/>
        <v>-7.2506334401195279E-5</v>
      </c>
      <c r="Q39">
        <f t="shared" ca="1" si="29"/>
        <v>-4.6178194409070448E-3</v>
      </c>
      <c r="R39">
        <f t="shared" ca="1" si="29"/>
        <v>-2.2623429074064644E-2</v>
      </c>
      <c r="S39">
        <f t="shared" ca="1" si="29"/>
        <v>-5.0710544476909272E-2</v>
      </c>
      <c r="T39">
        <f t="shared" ca="1" si="29"/>
        <v>-1.5319766008440205E-2</v>
      </c>
      <c r="U39">
        <f t="shared" ca="1" si="29"/>
        <v>0.61016124746848099</v>
      </c>
      <c r="V39">
        <f t="shared" ca="1" si="29"/>
        <v>3.8888078736701064</v>
      </c>
      <c r="W39">
        <f t="shared" ca="1" si="29"/>
        <v>13.03421537607753</v>
      </c>
      <c r="X39">
        <f t="shared" ca="1" si="29"/>
        <v>26.935971519564866</v>
      </c>
      <c r="Y39">
        <f t="shared" ca="1" si="29"/>
        <v>40.303859497746167</v>
      </c>
      <c r="Z39">
        <f t="shared" ca="1" si="29"/>
        <v>50.595775686988397</v>
      </c>
      <c r="AA39">
        <f t="shared" ca="1" si="29"/>
        <v>58.514237474016767</v>
      </c>
      <c r="AB39">
        <f t="shared" ca="1" si="29"/>
        <v>65.073568442792748</v>
      </c>
      <c r="AC39">
        <f t="shared" ca="1" si="29"/>
        <v>70.905678667133174</v>
      </c>
      <c r="AD39">
        <f t="shared" ca="1" si="29"/>
        <v>76.316431805258659</v>
      </c>
      <c r="AE39">
        <f t="shared" ca="1" si="29"/>
        <v>81.43789635187953</v>
      </c>
      <c r="AF39">
        <f t="shared" ca="1" si="29"/>
        <v>86.32256317575208</v>
      </c>
      <c r="AG39">
        <f t="shared" ca="1" si="29"/>
        <v>90.989408616521246</v>
      </c>
      <c r="AH39">
        <f t="shared" ca="1" si="29"/>
        <v>95.444510202039226</v>
      </c>
      <c r="AI39">
        <f t="shared" ca="1" si="29"/>
        <v>99.598803954697061</v>
      </c>
    </row>
    <row r="40" spans="1:35">
      <c r="A40" s="1" t="s">
        <v>37</v>
      </c>
      <c r="B40" s="1">
        <f ca="1">SUMPRODUCT(lz,qa2_)</f>
        <v>27.113596740821968</v>
      </c>
      <c r="C40" s="23">
        <f ca="1">B5/(phi_q2/SUM(B$39:B$41))</f>
        <v>0.65343844008182017</v>
      </c>
      <c r="D40" s="21"/>
      <c r="E40" s="39">
        <f ca="1">C40/AVERAGE(C$39:C$41)</f>
        <v>0.53443007656396713</v>
      </c>
      <c r="G40" s="1">
        <f ca="1">re*phi_q1+f1_*phi_q1*$H32+f1_*re*G36</f>
        <v>1225717.4372044774</v>
      </c>
      <c r="H40" s="1">
        <f ca="1">re*phi_q2+f2_*phi_q2*$H32+f2_*re*H36</f>
        <v>225611.93143632551</v>
      </c>
      <c r="I40" s="1">
        <f ca="1">re*phi_q3+f3_*phi_q3*$H33+f3_*re*I36</f>
        <v>413768.49097221432</v>
      </c>
      <c r="J40" s="8" t="s">
        <v>65</v>
      </c>
      <c r="K40">
        <f t="shared" ref="K40:AI40" ca="1" si="30">flt1_*qa1_+lz*wa*flt1_*flt2_/za*(sa-oa/za)</f>
        <v>-3.8614315408386265E-9</v>
      </c>
      <c r="L40">
        <f t="shared" ca="1" si="30"/>
        <v>-7.2728172756949731E-7</v>
      </c>
      <c r="M40">
        <f t="shared" ca="1" si="30"/>
        <v>-3.2755772477872176E-5</v>
      </c>
      <c r="N40">
        <f t="shared" ca="1" si="30"/>
        <v>-2.4114700679523138E-4</v>
      </c>
      <c r="O40">
        <f t="shared" ca="1" si="30"/>
        <v>-8.7431827530043351E-4</v>
      </c>
      <c r="P40">
        <f t="shared" ca="1" si="30"/>
        <v>-2.1385538817946179E-3</v>
      </c>
      <c r="Q40">
        <f t="shared" ca="1" si="30"/>
        <v>-5.8264315053126979E-3</v>
      </c>
      <c r="R40">
        <f t="shared" ca="1" si="30"/>
        <v>-1.346159024574012E-2</v>
      </c>
      <c r="S40">
        <f t="shared" ca="1" si="30"/>
        <v>-1.8797324617371637E-2</v>
      </c>
      <c r="T40">
        <f t="shared" ca="1" si="30"/>
        <v>6.1069731607153746E-2</v>
      </c>
      <c r="U40">
        <f t="shared" ca="1" si="30"/>
        <v>0.76322467021591633</v>
      </c>
      <c r="V40">
        <f t="shared" ca="1" si="30"/>
        <v>4.140680595574123</v>
      </c>
      <c r="W40">
        <f t="shared" ca="1" si="30"/>
        <v>13.354351383260539</v>
      </c>
      <c r="X40">
        <f t="shared" ca="1" si="30"/>
        <v>27.249241205928733</v>
      </c>
      <c r="Y40">
        <f t="shared" ca="1" si="30"/>
        <v>40.557718707176711</v>
      </c>
      <c r="Z40">
        <f t="shared" ca="1" si="30"/>
        <v>50.807824896402735</v>
      </c>
      <c r="AA40">
        <f t="shared" ca="1" si="30"/>
        <v>58.682189828097165</v>
      </c>
      <c r="AB40">
        <f t="shared" ca="1" si="30"/>
        <v>65.203048170104609</v>
      </c>
      <c r="AC40">
        <f t="shared" ca="1" si="30"/>
        <v>71.00397921206914</v>
      </c>
      <c r="AD40">
        <f t="shared" ca="1" si="30"/>
        <v>76.390310222180091</v>
      </c>
      <c r="AE40">
        <f t="shared" ca="1" si="30"/>
        <v>81.492999766989655</v>
      </c>
      <c r="AF40">
        <f t="shared" ca="1" si="30"/>
        <v>86.363407946598272</v>
      </c>
      <c r="AG40">
        <f t="shared" ca="1" si="30"/>
        <v>91.019522924646424</v>
      </c>
      <c r="AH40">
        <f t="shared" ca="1" si="30"/>
        <v>95.466608863032405</v>
      </c>
      <c r="AI40">
        <f t="shared" ca="1" si="30"/>
        <v>99.652589139642131</v>
      </c>
    </row>
    <row r="41" spans="1:35">
      <c r="A41" s="1" t="s">
        <v>38</v>
      </c>
      <c r="B41" s="1">
        <f ca="1">SUMPRODUCT(lz,qa3_)</f>
        <v>33.387555246731395</v>
      </c>
      <c r="C41" s="23">
        <f ca="1">B6/(phi_q3/SUM(B$39:B$41))</f>
        <v>0.40349817496189461</v>
      </c>
      <c r="D41" s="21"/>
      <c r="E41" s="39">
        <f ca="1">C41/AVERAGE(C$39:C$41)</f>
        <v>0.33001052174295842</v>
      </c>
      <c r="G41" s="1">
        <f ca="1">re*phi_q1+f1_*phi_q1*$H33+f1_*re*G37</f>
        <v>1231710.537078988</v>
      </c>
      <c r="H41" s="1">
        <f ca="1">re*phi_q3+f3_*phi_q3*$H33+f3_*re*H37</f>
        <v>413768.49097221432</v>
      </c>
      <c r="I41" s="1">
        <f ca="1">re*phi_q3+f1_*phi_q3*$H33+f3_*re*I37</f>
        <v>215642.65201688663</v>
      </c>
      <c r="J41" s="8" t="s">
        <v>67</v>
      </c>
      <c r="K41">
        <f t="shared" ref="K41:AI41" ca="1" si="31">flt1_*qa1_+lz*wa*flt3_*flt2_/za*(sa-oa/za)</f>
        <v>-1.4258950467127349E-7</v>
      </c>
      <c r="L41">
        <f t="shared" ca="1" si="31"/>
        <v>-3.7356422828317375E-5</v>
      </c>
      <c r="M41">
        <f t="shared" ca="1" si="31"/>
        <v>-2.3421903785504784E-3</v>
      </c>
      <c r="N41">
        <f t="shared" ca="1" si="31"/>
        <v>-2.3815906702725036E-2</v>
      </c>
      <c r="O41">
        <f t="shared" ca="1" si="31"/>
        <v>-0.11539254744871048</v>
      </c>
      <c r="P41">
        <f t="shared" ca="1" si="31"/>
        <v>-3.7089411088125052E-2</v>
      </c>
      <c r="Q41">
        <f t="shared" ca="1" si="31"/>
        <v>-0.6396453390394452</v>
      </c>
      <c r="R41">
        <f t="shared" ca="1" si="31"/>
        <v>-1.1783391530674507</v>
      </c>
      <c r="S41">
        <f t="shared" ca="1" si="31"/>
        <v>-1.1954598835709545</v>
      </c>
      <c r="T41">
        <f t="shared" ca="1" si="31"/>
        <v>-0.91352190479876405</v>
      </c>
      <c r="U41">
        <f t="shared" ca="1" si="31"/>
        <v>7.9901049378173661E-2</v>
      </c>
      <c r="V41">
        <f t="shared" ca="1" si="31"/>
        <v>3.7858719849624816</v>
      </c>
      <c r="W41">
        <f t="shared" ca="1" si="31"/>
        <v>13.283349436086676</v>
      </c>
      <c r="X41">
        <f t="shared" ca="1" si="31"/>
        <v>27.338712017766724</v>
      </c>
      <c r="Y41">
        <f t="shared" ca="1" si="31"/>
        <v>40.696147467451944</v>
      </c>
      <c r="Z41">
        <f t="shared" ca="1" si="31"/>
        <v>50.934348123538548</v>
      </c>
      <c r="AA41">
        <f t="shared" ca="1" si="31"/>
        <v>58.78576403962775</v>
      </c>
      <c r="AB41">
        <f t="shared" ca="1" si="31"/>
        <v>65.283906492412726</v>
      </c>
      <c r="AC41">
        <f t="shared" ca="1" si="31"/>
        <v>71.065664902967072</v>
      </c>
      <c r="AD41">
        <f t="shared" ca="1" si="31"/>
        <v>76.436757563899661</v>
      </c>
      <c r="AE41">
        <f t="shared" ca="1" si="31"/>
        <v>81.527668327009962</v>
      </c>
      <c r="AF41">
        <f t="shared" ca="1" si="31"/>
        <v>86.389112669213361</v>
      </c>
      <c r="AG41">
        <f t="shared" ca="1" si="31"/>
        <v>91.038476564702179</v>
      </c>
      <c r="AH41">
        <f t="shared" ca="1" si="31"/>
        <v>95.480517975155564</v>
      </c>
      <c r="AI41">
        <f t="shared" ca="1" si="31"/>
        <v>99.686442228313041</v>
      </c>
    </row>
    <row r="42" spans="1:35">
      <c r="A42" s="1" t="s">
        <v>96</v>
      </c>
      <c r="B42" s="1">
        <f ca="1">SUMPRODUCT(lz/SUM(lz),len,ta1_)</f>
        <v>7.4971750962168997</v>
      </c>
      <c r="J42" s="8" t="s">
        <v>68</v>
      </c>
      <c r="K42">
        <f t="shared" ref="K42:AI42" ca="1" si="32">flt1_*qa1_+lz*wa*flt1_*flt3_/za*(sa-oa/za)</f>
        <v>-3.3687854258765338E-10</v>
      </c>
      <c r="L42">
        <f t="shared" ca="1" si="32"/>
        <v>-1.7716835875812694E-8</v>
      </c>
      <c r="M42">
        <f t="shared" ca="1" si="32"/>
        <v>-4.1878276391981607E-7</v>
      </c>
      <c r="N42">
        <f t="shared" ca="1" si="32"/>
        <v>-6.8351231438460934E-6</v>
      </c>
      <c r="O42">
        <f t="shared" ca="1" si="32"/>
        <v>-8.8226123402997624E-5</v>
      </c>
      <c r="P42">
        <f t="shared" ca="1" si="32"/>
        <v>-7.2506334401195279E-5</v>
      </c>
      <c r="Q42">
        <f t="shared" ca="1" si="32"/>
        <v>-4.6178194409070448E-3</v>
      </c>
      <c r="R42">
        <f t="shared" ca="1" si="32"/>
        <v>-2.2623429074064644E-2</v>
      </c>
      <c r="S42">
        <f t="shared" ca="1" si="32"/>
        <v>-5.0710544476909272E-2</v>
      </c>
      <c r="T42">
        <f t="shared" ca="1" si="32"/>
        <v>-1.5319766008440205E-2</v>
      </c>
      <c r="U42">
        <f t="shared" ca="1" si="32"/>
        <v>0.6101612474684811</v>
      </c>
      <c r="V42">
        <f t="shared" ca="1" si="32"/>
        <v>3.8888078736701064</v>
      </c>
      <c r="W42">
        <f t="shared" ca="1" si="32"/>
        <v>13.03421537607753</v>
      </c>
      <c r="X42">
        <f t="shared" ca="1" si="32"/>
        <v>26.935971519564866</v>
      </c>
      <c r="Y42">
        <f t="shared" ca="1" si="32"/>
        <v>40.303859497746167</v>
      </c>
      <c r="Z42">
        <f t="shared" ca="1" si="32"/>
        <v>50.595775686988397</v>
      </c>
      <c r="AA42">
        <f t="shared" ca="1" si="32"/>
        <v>58.514237474016767</v>
      </c>
      <c r="AB42">
        <f t="shared" ca="1" si="32"/>
        <v>65.073568442792748</v>
      </c>
      <c r="AC42">
        <f t="shared" ca="1" si="32"/>
        <v>70.905678667133174</v>
      </c>
      <c r="AD42">
        <f t="shared" ca="1" si="32"/>
        <v>76.316431805258659</v>
      </c>
      <c r="AE42">
        <f t="shared" ca="1" si="32"/>
        <v>81.43789635187953</v>
      </c>
      <c r="AF42">
        <f t="shared" ca="1" si="32"/>
        <v>86.32256317575208</v>
      </c>
      <c r="AG42">
        <f t="shared" ca="1" si="32"/>
        <v>90.989408616521246</v>
      </c>
      <c r="AH42">
        <f t="shared" ca="1" si="32"/>
        <v>95.444510202039226</v>
      </c>
      <c r="AI42">
        <f t="shared" ca="1" si="32"/>
        <v>99.598803954697061</v>
      </c>
    </row>
    <row r="43" spans="1:35">
      <c r="A43" s="1"/>
      <c r="B43" s="1"/>
      <c r="J43" s="8" t="s">
        <v>61</v>
      </c>
      <c r="K43">
        <f t="shared" ref="K43:AI43" ca="1" si="33">flt1_*qa1_+lz*wa*flt2_*flt3_/za*(sa-oa/za)</f>
        <v>-1.4258950467127351E-7</v>
      </c>
      <c r="L43">
        <f t="shared" ca="1" si="33"/>
        <v>-3.7356422828317375E-5</v>
      </c>
      <c r="M43">
        <f t="shared" ca="1" si="33"/>
        <v>-2.3421903785504779E-3</v>
      </c>
      <c r="N43">
        <f t="shared" ca="1" si="33"/>
        <v>-2.3815906702725029E-2</v>
      </c>
      <c r="O43">
        <f t="shared" ca="1" si="33"/>
        <v>-0.11539254744871048</v>
      </c>
      <c r="P43">
        <f t="shared" ca="1" si="33"/>
        <v>-3.7089411088125052E-2</v>
      </c>
      <c r="Q43">
        <f t="shared" ca="1" si="33"/>
        <v>-0.6396453390394452</v>
      </c>
      <c r="R43">
        <f t="shared" ca="1" si="33"/>
        <v>-1.1783391530674507</v>
      </c>
      <c r="S43">
        <f t="shared" ca="1" si="33"/>
        <v>-1.1954598835709545</v>
      </c>
      <c r="T43">
        <f t="shared" ca="1" si="33"/>
        <v>-0.91352190479876405</v>
      </c>
      <c r="U43">
        <f t="shared" ca="1" si="33"/>
        <v>7.9901049378173883E-2</v>
      </c>
      <c r="V43">
        <f t="shared" ca="1" si="33"/>
        <v>3.7858719849624816</v>
      </c>
      <c r="W43">
        <f t="shared" ca="1" si="33"/>
        <v>13.283349436086676</v>
      </c>
      <c r="X43">
        <f t="shared" ca="1" si="33"/>
        <v>27.338712017766724</v>
      </c>
      <c r="Y43">
        <f t="shared" ca="1" si="33"/>
        <v>40.696147467451944</v>
      </c>
      <c r="Z43">
        <f t="shared" ca="1" si="33"/>
        <v>50.934348123538548</v>
      </c>
      <c r="AA43">
        <f t="shared" ca="1" si="33"/>
        <v>58.78576403962775</v>
      </c>
      <c r="AB43">
        <f t="shared" ca="1" si="33"/>
        <v>65.283906492412726</v>
      </c>
      <c r="AC43">
        <f t="shared" ca="1" si="33"/>
        <v>71.065664902967072</v>
      </c>
      <c r="AD43">
        <f t="shared" ca="1" si="33"/>
        <v>76.436757563899661</v>
      </c>
      <c r="AE43">
        <f t="shared" ca="1" si="33"/>
        <v>81.527668327009962</v>
      </c>
      <c r="AF43">
        <f t="shared" ca="1" si="33"/>
        <v>86.389112669213361</v>
      </c>
      <c r="AG43">
        <f t="shared" ca="1" si="33"/>
        <v>91.038476564702179</v>
      </c>
      <c r="AH43">
        <f t="shared" ca="1" si="33"/>
        <v>95.480517975155564</v>
      </c>
      <c r="AI43">
        <f t="shared" ca="1" si="33"/>
        <v>99.686442228313041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0.26470457816461607</v>
      </c>
      <c r="G46" s="32" t="s">
        <v>94</v>
      </c>
      <c r="H46" s="32"/>
      <c r="I46" s="32"/>
      <c r="J46" s="8" t="s">
        <v>75</v>
      </c>
      <c r="K46">
        <f t="shared" ref="K46:AI46" ca="1" si="34">lz*qa1_</f>
        <v>1.1391345586522849E-6</v>
      </c>
      <c r="L46">
        <f t="shared" ca="1" si="34"/>
        <v>1.6556210152318201E-5</v>
      </c>
      <c r="M46">
        <f t="shared" ca="1" si="34"/>
        <v>1.0910678023707156E-4</v>
      </c>
      <c r="N46">
        <f t="shared" ca="1" si="34"/>
        <v>5.0166539840039762E-4</v>
      </c>
      <c r="O46">
        <f t="shared" ca="1" si="34"/>
        <v>1.8880104991851956E-3</v>
      </c>
      <c r="P46">
        <f t="shared" ca="1" si="34"/>
        <v>6.3211165148962427E-3</v>
      </c>
      <c r="Q46">
        <f t="shared" ca="1" si="34"/>
        <v>1.9428919988188912E-2</v>
      </c>
      <c r="R46">
        <f t="shared" ca="1" si="34"/>
        <v>5.5251456045959171E-2</v>
      </c>
      <c r="S46">
        <f t="shared" ca="1" si="34"/>
        <v>0.14709170401936159</v>
      </c>
      <c r="T46">
        <f t="shared" ca="1" si="34"/>
        <v>0.3651867823182543</v>
      </c>
      <c r="U46">
        <f t="shared" ca="1" si="34"/>
        <v>0.81626184393033419</v>
      </c>
      <c r="V46">
        <f t="shared" ca="1" si="34"/>
        <v>1.5306597455023987</v>
      </c>
      <c r="W46">
        <f t="shared" ca="1" si="34"/>
        <v>2.2335019094103399</v>
      </c>
      <c r="X46">
        <f t="shared" ca="1" si="34"/>
        <v>2.5129556005945428</v>
      </c>
      <c r="Y46">
        <f t="shared" ca="1" si="34"/>
        <v>2.3397409749185041</v>
      </c>
      <c r="Z46">
        <f t="shared" ca="1" si="34"/>
        <v>1.9578356802791907</v>
      </c>
      <c r="AA46">
        <f t="shared" ca="1" si="34"/>
        <v>1.5518528802550908</v>
      </c>
      <c r="AB46">
        <f t="shared" ca="1" si="34"/>
        <v>1.196733005830664</v>
      </c>
      <c r="AC46">
        <f t="shared" ca="1" si="34"/>
        <v>0.9086635885250105</v>
      </c>
      <c r="AD46">
        <f t="shared" ca="1" si="34"/>
        <v>0.68294379830549512</v>
      </c>
      <c r="AE46">
        <f t="shared" ca="1" si="34"/>
        <v>0.50939386010476018</v>
      </c>
      <c r="AF46">
        <f t="shared" ca="1" si="34"/>
        <v>0.37758490188619798</v>
      </c>
      <c r="AG46">
        <f t="shared" ca="1" si="34"/>
        <v>0.27838903394777803</v>
      </c>
      <c r="AH46">
        <f t="shared" ca="1" si="34"/>
        <v>0.20428925999916897</v>
      </c>
      <c r="AI46">
        <f t="shared" ca="1" si="34"/>
        <v>0.49721279542834801</v>
      </c>
    </row>
    <row r="47" spans="1:35" ht="19" thickTop="1">
      <c r="A47" s="1" t="s">
        <v>41</v>
      </c>
      <c r="B47" s="11">
        <f ca="1">MAX(0,Ro*(reck-1/spr)/(reck-1))</f>
        <v>7591.8885662652228</v>
      </c>
      <c r="F47" t="s">
        <v>84</v>
      </c>
      <c r="G47" s="31">
        <f ca="1">G39/G53</f>
        <v>0.99999999999999978</v>
      </c>
      <c r="H47" s="31">
        <f ca="1">H53/H39</f>
        <v>0.43587658679590136</v>
      </c>
      <c r="I47" s="31">
        <f ca="1">I53/I39</f>
        <v>0.42406414058515707</v>
      </c>
      <c r="J47" s="8" t="s">
        <v>76</v>
      </c>
      <c r="K47">
        <f t="shared" ref="K47:AI47" ca="1" si="35">lz*qa2_</f>
        <v>4.5530177118754961E-4</v>
      </c>
      <c r="L47">
        <f t="shared" ca="1" si="35"/>
        <v>3.3286698242368434E-2</v>
      </c>
      <c r="M47">
        <f t="shared" ca="1" si="35"/>
        <v>0.58636317345553501</v>
      </c>
      <c r="N47">
        <f t="shared" ca="1" si="35"/>
        <v>1.6886805982478905</v>
      </c>
      <c r="O47">
        <f t="shared" ca="1" si="35"/>
        <v>2.3930497484416917</v>
      </c>
      <c r="P47">
        <f t="shared" ca="1" si="35"/>
        <v>2.3030427331615364</v>
      </c>
      <c r="Q47">
        <f t="shared" ca="1" si="35"/>
        <v>2.5399300548584209</v>
      </c>
      <c r="R47">
        <f t="shared" ca="1" si="35"/>
        <v>2.6033553821661974</v>
      </c>
      <c r="S47">
        <f t="shared" ca="1" si="35"/>
        <v>2.5277646797939246</v>
      </c>
      <c r="T47">
        <f t="shared" ca="1" si="35"/>
        <v>2.356209290186341</v>
      </c>
      <c r="U47">
        <f t="shared" ca="1" si="35"/>
        <v>2.1127479447951734</v>
      </c>
      <c r="V47">
        <f t="shared" ca="1" si="35"/>
        <v>1.8112933182336011</v>
      </c>
      <c r="W47">
        <f t="shared" ca="1" si="35"/>
        <v>1.4732716063825877</v>
      </c>
      <c r="X47">
        <f t="shared" ca="1" si="35"/>
        <v>1.1379480966497977</v>
      </c>
      <c r="Y47">
        <f t="shared" ca="1" si="35"/>
        <v>0.84463058286654547</v>
      </c>
      <c r="Z47">
        <f t="shared" ca="1" si="35"/>
        <v>0.66517483825621271</v>
      </c>
      <c r="AA47">
        <f t="shared" ca="1" si="35"/>
        <v>0.51439567688582355</v>
      </c>
      <c r="AB47">
        <f t="shared" ca="1" si="35"/>
        <v>0.39282426952765959</v>
      </c>
      <c r="AC47">
        <f t="shared" ca="1" si="35"/>
        <v>0.29712589148326385</v>
      </c>
      <c r="AD47">
        <f t="shared" ca="1" si="35"/>
        <v>0.22298449631848982</v>
      </c>
      <c r="AE47">
        <f t="shared" ca="1" si="35"/>
        <v>0.16622380570224227</v>
      </c>
      <c r="AF47">
        <f t="shared" ca="1" si="35"/>
        <v>0.12318536086970985</v>
      </c>
      <c r="AG47">
        <f t="shared" ca="1" si="35"/>
        <v>9.0815938713868352E-2</v>
      </c>
      <c r="AH47">
        <f t="shared" ca="1" si="35"/>
        <v>6.6641467162812509E-2</v>
      </c>
      <c r="AI47">
        <f t="shared" ca="1" si="35"/>
        <v>0.16219578664908466</v>
      </c>
    </row>
    <row r="48" spans="1:35">
      <c r="A48" s="1" t="s">
        <v>43</v>
      </c>
      <c r="B48" s="1">
        <f ca="1">f1_*re*phi_q1</f>
        <v>24490.938963222034</v>
      </c>
      <c r="C48" s="20">
        <f ca="1">ye_1/SUM(ye_1,ye_2,ye_3)</f>
        <v>0.60367371601208464</v>
      </c>
      <c r="F48" t="s">
        <v>85</v>
      </c>
      <c r="G48" s="31">
        <f ca="1">G40/G54</f>
        <v>2.2942273806237927</v>
      </c>
      <c r="H48" s="31">
        <f t="shared" ref="H48:I49" ca="1" si="36">H40/H54</f>
        <v>0.99999999999999989</v>
      </c>
      <c r="I48" s="31">
        <f ca="1">I54/I40</f>
        <v>0.53307823163576373</v>
      </c>
      <c r="J48" s="8" t="s">
        <v>77</v>
      </c>
      <c r="K48">
        <f t="shared" ref="K48:AI48" ca="1" si="37">lz*qa3_</f>
        <v>4.1854311320925863E-5</v>
      </c>
      <c r="L48">
        <f t="shared" ca="1" si="37"/>
        <v>8.4941112424953894E-4</v>
      </c>
      <c r="M48">
        <f t="shared" ca="1" si="37"/>
        <v>7.7976434411717969E-3</v>
      </c>
      <c r="N48">
        <f t="shared" ca="1" si="37"/>
        <v>4.9496174576323208E-2</v>
      </c>
      <c r="O48">
        <f t="shared" ca="1" si="37"/>
        <v>0.24838583240467385</v>
      </c>
      <c r="P48">
        <f t="shared" ca="1" si="37"/>
        <v>0.10822882195276047</v>
      </c>
      <c r="Q48">
        <f t="shared" ca="1" si="37"/>
        <v>2.0369850883407907</v>
      </c>
      <c r="R48">
        <f t="shared" ca="1" si="37"/>
        <v>4.1036434462503948</v>
      </c>
      <c r="S48">
        <f t="shared" ca="1" si="37"/>
        <v>4.6060087000899976</v>
      </c>
      <c r="T48">
        <f t="shared" ca="1" si="37"/>
        <v>4.3933103261880166</v>
      </c>
      <c r="U48">
        <f t="shared" ca="1" si="37"/>
        <v>3.9015169285686859</v>
      </c>
      <c r="V48">
        <f t="shared" ca="1" si="37"/>
        <v>3.2849975549604054</v>
      </c>
      <c r="W48">
        <f t="shared" ca="1" si="37"/>
        <v>2.6185972029604638</v>
      </c>
      <c r="X48">
        <f t="shared" ca="1" si="37"/>
        <v>1.9811469670361999</v>
      </c>
      <c r="Y48">
        <f t="shared" ca="1" si="37"/>
        <v>1.4401621934705162</v>
      </c>
      <c r="Z48">
        <f t="shared" ca="1" si="37"/>
        <v>1.1341759030951688</v>
      </c>
      <c r="AA48">
        <f t="shared" ca="1" si="37"/>
        <v>0.87708546358981332</v>
      </c>
      <c r="AB48">
        <f t="shared" ca="1" si="37"/>
        <v>0.66979656328735471</v>
      </c>
      <c r="AC48">
        <f t="shared" ca="1" si="37"/>
        <v>0.50662323185499769</v>
      </c>
      <c r="AD48">
        <f t="shared" ca="1" si="37"/>
        <v>0.38020626749990039</v>
      </c>
      <c r="AE48">
        <f t="shared" ca="1" si="37"/>
        <v>0.2834247841401954</v>
      </c>
      <c r="AF48">
        <f t="shared" ca="1" si="37"/>
        <v>0.21004081916082989</v>
      </c>
      <c r="AG48">
        <f t="shared" ca="1" si="37"/>
        <v>0.15484838478896731</v>
      </c>
      <c r="AH48">
        <f t="shared" ca="1" si="37"/>
        <v>0.11362899174165202</v>
      </c>
      <c r="AI48">
        <f t="shared" ca="1" si="37"/>
        <v>0.27655669189654397</v>
      </c>
    </row>
    <row r="49" spans="1:47">
      <c r="A49" s="1" t="s">
        <v>44</v>
      </c>
      <c r="B49" s="1">
        <f ca="1">f2_*re*phi_q2</f>
        <v>9133.7268864320467</v>
      </c>
      <c r="C49" s="20">
        <f ca="1">ye_2/SUM(ye_1,ye_2,ye_3)</f>
        <v>0.22513595166163144</v>
      </c>
      <c r="F49" t="s">
        <v>86</v>
      </c>
      <c r="G49" s="31">
        <f ca="1">G41/G55</f>
        <v>2.3581338394237279</v>
      </c>
      <c r="H49" s="31">
        <f t="shared" ca="1" si="36"/>
        <v>1.8758972710843496</v>
      </c>
      <c r="I49" s="31">
        <f t="shared" ca="1" si="36"/>
        <v>0.99999999999999989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6945.1623764463975</v>
      </c>
      <c r="C50" s="20">
        <f ca="1">ye_3/SUM(ye_1,ye_2,ye_3)</f>
        <v>0.17119033232628403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40569.828226100472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1124.7936973087549</v>
      </c>
      <c r="H52" s="57">
        <f ca="1">H40^0.5</f>
        <v>474.98624341798103</v>
      </c>
      <c r="I52" s="11">
        <f ca="1">I41^0.5</f>
        <v>464.3733971890365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3.2259349896214538</v>
      </c>
      <c r="C53">
        <f ca="1">AVERAGE(B53:B55)/B53</f>
        <v>0.55217466736063847</v>
      </c>
      <c r="G53">
        <f ca="1">G$52*$J53</f>
        <v>1265160.8615054989</v>
      </c>
      <c r="H53">
        <f t="shared" ref="H53:I53" ca="1" si="38">H$52*$J53</f>
        <v>534261.53290490713</v>
      </c>
      <c r="I53">
        <f t="shared" ca="1" si="38"/>
        <v>522324.27035608329</v>
      </c>
      <c r="J53">
        <f t="array" aca="1" ref="J53:J55" ca="1">TRANSPOSE(G52:I52)</f>
        <v>1124.7936973087549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1.2030902201354781</v>
      </c>
      <c r="C54">
        <f ca="1">AVERAGE(B53:B55)/B54</f>
        <v>1.4805868670602973</v>
      </c>
      <c r="G54">
        <f t="shared" ref="G54:I55" ca="1" si="39">G$52*$J54</f>
        <v>534261.53290490713</v>
      </c>
      <c r="H54">
        <f t="shared" ca="1" si="39"/>
        <v>225611.93143632554</v>
      </c>
      <c r="I54">
        <f ca="1">I$52*$J54</f>
        <v>220570.97547406648</v>
      </c>
      <c r="J54">
        <f ca="1"/>
        <v>474.98624341798103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0.91481352970688057</v>
      </c>
      <c r="C55">
        <f ca="1">AVERAGE(B53:B55)/B55</f>
        <v>1.9471504541390183</v>
      </c>
      <c r="G55">
        <f t="shared" ca="1" si="39"/>
        <v>522324.27035608329</v>
      </c>
      <c r="H55">
        <f t="shared" ca="1" si="39"/>
        <v>220570.97547406648</v>
      </c>
      <c r="I55">
        <f t="shared" ca="1" si="39"/>
        <v>215642.65201688666</v>
      </c>
      <c r="J55">
        <f ca="1"/>
        <v>464.3733971890365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5.8092064105440169E-2</v>
      </c>
      <c r="C56">
        <f ca="1">AVERAGE(B56:B58)/B56</f>
        <v>1.17491510423574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0.11272878616276547</v>
      </c>
      <c r="C57">
        <f ca="1">AVERAGE(B56:B58)/B57</f>
        <v>0.605464193104713</v>
      </c>
      <c r="G57">
        <f t="array" aca="1" ref="G57:I59" ca="1">MMULT($G$52:$I$52,TRANSPOSE($G$52:$I$52))</f>
        <v>1706415.4449587113</v>
      </c>
      <c r="H57">
        <f ca="1"/>
        <v>1706415.4449587113</v>
      </c>
      <c r="I57">
        <f ca="1"/>
        <v>1706415.4449587113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3.3938880392931928E-2</v>
      </c>
      <c r="C58">
        <f ca="1">AVERAGE(B56:B58)/B58</f>
        <v>2.0110634989575811</v>
      </c>
      <c r="G58">
        <f ca="1"/>
        <v>1706415.4449587113</v>
      </c>
      <c r="H58">
        <f ca="1"/>
        <v>1706415.4449587113</v>
      </c>
      <c r="I58">
        <f ca="1"/>
        <v>1706415.4449587113</v>
      </c>
      <c r="AL58" s="31"/>
      <c r="AM58" s="31"/>
      <c r="AN58" s="31"/>
      <c r="AO58" s="31"/>
      <c r="AP58" s="31"/>
    </row>
    <row r="59" spans="1:47">
      <c r="G59">
        <f ca="1"/>
        <v>1706415.4449587113</v>
      </c>
      <c r="H59">
        <f ca="1"/>
        <v>1706415.4449587113</v>
      </c>
      <c r="I59">
        <f ca="1"/>
        <v>1706415.4449587113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55.531423083301206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10.672431249267378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26.954735074212955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0.57289495938410051</v>
      </c>
      <c r="E4" s="47">
        <v>24977</v>
      </c>
      <c r="F4" s="47">
        <f ca="1">ye_1</f>
        <v>22647.598467268497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0.23315842659116665</v>
      </c>
      <c r="E5" s="47">
        <v>9315</v>
      </c>
      <c r="F5" s="47">
        <f ca="1">ye_2</f>
        <v>9217.1842991491831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0.19394661402473282</v>
      </c>
      <c r="E6" s="47">
        <v>7083</v>
      </c>
      <c r="F6" s="47">
        <f ca="1">ye_3</f>
        <v>7667.0687471933734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0.25130389740851267</v>
      </c>
      <c r="J7" t="s">
        <v>7</v>
      </c>
      <c r="K7" s="1">
        <f>1</f>
        <v>1</v>
      </c>
      <c r="L7" s="1">
        <f ca="1">K7*EXP(-K8)</f>
        <v>0.86040337068777262</v>
      </c>
      <c r="M7" s="1">
        <f t="shared" ref="M7:AH7" ca="1" si="3">L7*EXP(-L8)</f>
        <v>0.73734424325930781</v>
      </c>
      <c r="N7" s="1">
        <f t="shared" ca="1" si="3"/>
        <v>0.61617276906484542</v>
      </c>
      <c r="O7" s="1">
        <f t="shared" ca="1" si="3"/>
        <v>0.50550300738665743</v>
      </c>
      <c r="P7" s="1">
        <f t="shared" ca="1" si="3"/>
        <v>0.41440453533833488</v>
      </c>
      <c r="Q7" s="1">
        <f t="shared" ca="1" si="3"/>
        <v>0.34447076580027647</v>
      </c>
      <c r="R7" s="1">
        <f t="shared" ca="1" si="3"/>
        <v>0.28250200572378298</v>
      </c>
      <c r="S7" s="1">
        <f t="shared" ca="1" si="3"/>
        <v>0.22884554557053211</v>
      </c>
      <c r="T7" s="1">
        <f t="shared" ca="1" si="3"/>
        <v>0.1848372920047289</v>
      </c>
      <c r="U7" s="1">
        <f t="shared" ca="1" si="3"/>
        <v>0.14868089274368318</v>
      </c>
      <c r="V7" s="1">
        <f t="shared" ca="1" si="3"/>
        <v>0.11803544164875679</v>
      </c>
      <c r="W7" s="1">
        <f t="shared" ca="1" si="3"/>
        <v>9.1170870467145726E-2</v>
      </c>
      <c r="X7" s="1">
        <f t="shared" ca="1" si="3"/>
        <v>6.786367937658061E-2</v>
      </c>
      <c r="Y7" s="1">
        <f t="shared" ca="1" si="3"/>
        <v>4.894827149110971E-2</v>
      </c>
      <c r="Z7" s="1">
        <f t="shared" ca="1" si="3"/>
        <v>3.4684474891320947E-2</v>
      </c>
      <c r="AA7" s="1">
        <f t="shared" ca="1" si="3"/>
        <v>2.433082903849992E-2</v>
      </c>
      <c r="AB7" s="1">
        <f t="shared" ca="1" si="3"/>
        <v>1.6995015257649473E-2</v>
      </c>
      <c r="AC7" s="1">
        <f t="shared" ca="1" si="3"/>
        <v>1.1850520321277024E-2</v>
      </c>
      <c r="AD7" s="1">
        <f t="shared" ca="1" si="3"/>
        <v>8.2576765317522883E-3</v>
      </c>
      <c r="AE7" s="1">
        <f t="shared" ca="1" si="3"/>
        <v>5.7525844506027581E-3</v>
      </c>
      <c r="AF7" s="1">
        <f t="shared" ca="1" si="3"/>
        <v>4.0070388194384087E-3</v>
      </c>
      <c r="AG7" s="1">
        <f t="shared" ca="1" si="3"/>
        <v>2.7910470151770563E-3</v>
      </c>
      <c r="AH7" s="1">
        <f t="shared" ca="1" si="3"/>
        <v>1.9440373190307949E-3</v>
      </c>
      <c r="AI7" s="1">
        <f ca="1">AH7*EXP(-AH8)/(1-EXP(-AI8))</f>
        <v>4.4618367142109459E-3</v>
      </c>
    </row>
    <row r="8" spans="1:35">
      <c r="A8" s="5"/>
      <c r="B8" s="26"/>
      <c r="C8" s="26"/>
      <c r="E8" t="s">
        <v>111</v>
      </c>
      <c r="F8">
        <f ca="1">SUMXMY2(E4:E6,F4:F6)</f>
        <v>5776815.7134728488</v>
      </c>
      <c r="J8" t="s">
        <v>11</v>
      </c>
      <c r="K8" s="1">
        <f ca="1">M+f1_*flt1_ +f2_*flt2_ +f3_*flt3_</f>
        <v>0.15035396401398024</v>
      </c>
      <c r="L8" s="1">
        <f t="shared" ref="L8:AI8" ca="1" si="4">M+f1_*flt1_ +f2_*flt2_ +f3_*flt3_</f>
        <v>0.15434644463970862</v>
      </c>
      <c r="M8" s="1">
        <f t="shared" ca="1" si="4"/>
        <v>0.17952747685796633</v>
      </c>
      <c r="N8" s="1">
        <f t="shared" ca="1" si="4"/>
        <v>0.19797340569697544</v>
      </c>
      <c r="O8" s="1">
        <f t="shared" ca="1" si="4"/>
        <v>0.19871135253885833</v>
      </c>
      <c r="P8" s="1">
        <f t="shared" ca="1" si="4"/>
        <v>0.18483340817773547</v>
      </c>
      <c r="Q8" s="1">
        <f t="shared" ca="1" si="4"/>
        <v>0.19832357658842481</v>
      </c>
      <c r="R8" s="1">
        <f t="shared" ca="1" si="4"/>
        <v>0.2106383479649471</v>
      </c>
      <c r="S8" s="1">
        <f t="shared" ca="1" si="4"/>
        <v>0.2135713670917587</v>
      </c>
      <c r="T8" s="1">
        <f t="shared" ca="1" si="4"/>
        <v>0.21767358553692112</v>
      </c>
      <c r="U8" s="1">
        <f t="shared" ca="1" si="4"/>
        <v>0.23081741755054935</v>
      </c>
      <c r="V8" s="1">
        <f t="shared" ca="1" si="4"/>
        <v>0.25824948903648071</v>
      </c>
      <c r="W8" s="1">
        <f t="shared" ca="1" si="4"/>
        <v>0.29523446529284159</v>
      </c>
      <c r="X8" s="1">
        <f t="shared" ca="1" si="4"/>
        <v>0.32673692136595367</v>
      </c>
      <c r="Y8" s="1">
        <f t="shared" ca="1" si="4"/>
        <v>0.34447187926572242</v>
      </c>
      <c r="Z8" s="1">
        <f t="shared" ca="1" si="4"/>
        <v>0.35454794640530091</v>
      </c>
      <c r="AA8" s="1">
        <f t="shared" ca="1" si="4"/>
        <v>0.35882415003749285</v>
      </c>
      <c r="AB8" s="1">
        <f t="shared" ca="1" si="4"/>
        <v>0.36054830533482479</v>
      </c>
      <c r="AC8" s="1">
        <f t="shared" ca="1" si="4"/>
        <v>0.36122851917811138</v>
      </c>
      <c r="AD8" s="1">
        <f t="shared" ca="1" si="4"/>
        <v>0.36149403290951404</v>
      </c>
      <c r="AE8" s="1">
        <f t="shared" ca="1" si="4"/>
        <v>0.36159670398522231</v>
      </c>
      <c r="AF8" s="1">
        <f t="shared" ca="1" si="4"/>
        <v>0.36163571982033582</v>
      </c>
      <c r="AG8" s="1">
        <f t="shared" ca="1" si="4"/>
        <v>0.36164989680622289</v>
      </c>
      <c r="AH8" s="1">
        <f t="shared" ca="1" si="4"/>
        <v>0.36165438814346845</v>
      </c>
      <c r="AI8" s="1">
        <f t="shared" ca="1" si="4"/>
        <v>0.36165510368603165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0.86040337068777262</v>
      </c>
      <c r="L10" s="1">
        <f t="shared" ca="1" si="5"/>
        <v>0.85697507515562588</v>
      </c>
      <c r="M10" s="1">
        <f t="shared" ca="1" si="5"/>
        <v>0.83566498917948551</v>
      </c>
      <c r="N10" s="1">
        <f t="shared" ca="1" si="5"/>
        <v>0.82039167059240625</v>
      </c>
      <c r="O10" s="1">
        <f t="shared" ca="1" si="5"/>
        <v>0.81978648847356572</v>
      </c>
      <c r="P10" s="1">
        <f t="shared" ca="1" si="5"/>
        <v>0.83124275056265506</v>
      </c>
      <c r="Q10" s="1">
        <f t="shared" ca="1" si="5"/>
        <v>0.82010444360197798</v>
      </c>
      <c r="R10" s="1">
        <f t="shared" ca="1" si="5"/>
        <v>0.81006697628294499</v>
      </c>
      <c r="S10" s="1">
        <f t="shared" ca="1" si="5"/>
        <v>0.80769451528502878</v>
      </c>
      <c r="T10" s="1">
        <f t="shared" ca="1" si="5"/>
        <v>0.80438796268384682</v>
      </c>
      <c r="U10" s="1">
        <f t="shared" ca="1" si="5"/>
        <v>0.79388440216217104</v>
      </c>
      <c r="V10" s="1">
        <f t="shared" ca="1" si="5"/>
        <v>0.77240250210989048</v>
      </c>
      <c r="W10" s="1">
        <f t="shared" ca="1" si="5"/>
        <v>0.74435704111255485</v>
      </c>
      <c r="X10" s="1">
        <f t="shared" ca="1" si="5"/>
        <v>0.72127346970817929</v>
      </c>
      <c r="Y10" s="1">
        <f t="shared" ca="1" si="5"/>
        <v>0.7085944781036968</v>
      </c>
      <c r="Z10" s="1">
        <f t="shared" ca="1" si="5"/>
        <v>0.70149048283813553</v>
      </c>
      <c r="AA10" s="1">
        <f t="shared" ca="1" si="5"/>
        <v>0.69849717125369581</v>
      </c>
      <c r="AB10" s="1">
        <f t="shared" ca="1" si="5"/>
        <v>0.69729389127456609</v>
      </c>
      <c r="AC10" s="1">
        <f t="shared" ca="1" si="5"/>
        <v>0.69681974359607135</v>
      </c>
      <c r="AD10" s="1">
        <f t="shared" ca="1" si="5"/>
        <v>0.69663475294569976</v>
      </c>
      <c r="AE10" s="1">
        <f t="shared" ca="1" si="5"/>
        <v>0.69656323237784878</v>
      </c>
      <c r="AF10" s="1">
        <f t="shared" ca="1" si="5"/>
        <v>0.69653605591178791</v>
      </c>
      <c r="AG10" s="1">
        <f t="shared" ca="1" si="5"/>
        <v>0.69652618119995036</v>
      </c>
      <c r="AH10" s="1">
        <f t="shared" ca="1" si="5"/>
        <v>0.69652305287299543</v>
      </c>
      <c r="AI10" s="1">
        <f t="shared" ca="1" si="5"/>
        <v>0.6965225544812832</v>
      </c>
    </row>
    <row r="11" spans="1:35">
      <c r="A11" s="5">
        <v>1</v>
      </c>
      <c r="B11" s="25">
        <f>'Status Quo'!B11</f>
        <v>0.26028638242243257</v>
      </c>
      <c r="C11" s="18">
        <f ca="1">mpr1_/SUM(mpr1_,mpr2_,mpr3_)</f>
        <v>0.26028638242243263</v>
      </c>
      <c r="J11" t="s">
        <v>56</v>
      </c>
      <c r="K11" s="1">
        <f ca="1">1-sa</f>
        <v>0.13959662931222738</v>
      </c>
      <c r="L11" s="1">
        <f t="shared" ref="L11:AI11" ca="1" si="6">1-sa</f>
        <v>0.14302492484437412</v>
      </c>
      <c r="M11" s="1">
        <f t="shared" ca="1" si="6"/>
        <v>0.16433501082051449</v>
      </c>
      <c r="N11" s="1">
        <f t="shared" ca="1" si="6"/>
        <v>0.17960832940759375</v>
      </c>
      <c r="O11" s="1">
        <f t="shared" ca="1" si="6"/>
        <v>0.18021351152643428</v>
      </c>
      <c r="P11" s="1">
        <f t="shared" ca="1" si="6"/>
        <v>0.16875724943734494</v>
      </c>
      <c r="Q11" s="1">
        <f t="shared" ca="1" si="6"/>
        <v>0.17989555639802202</v>
      </c>
      <c r="R11" s="1">
        <f t="shared" ca="1" si="6"/>
        <v>0.18993302371705501</v>
      </c>
      <c r="S11" s="1">
        <f t="shared" ca="1" si="6"/>
        <v>0.19230548471497122</v>
      </c>
      <c r="T11" s="1">
        <f t="shared" ca="1" si="6"/>
        <v>0.19561203731615318</v>
      </c>
      <c r="U11" s="1">
        <f t="shared" ca="1" si="6"/>
        <v>0.20611559783782896</v>
      </c>
      <c r="V11" s="1">
        <f t="shared" ca="1" si="6"/>
        <v>0.22759749789010952</v>
      </c>
      <c r="W11" s="1">
        <f t="shared" ca="1" si="6"/>
        <v>0.25564295888744515</v>
      </c>
      <c r="X11" s="1">
        <f t="shared" ca="1" si="6"/>
        <v>0.27872653029182071</v>
      </c>
      <c r="Y11" s="1">
        <f t="shared" ca="1" si="6"/>
        <v>0.2914055218963032</v>
      </c>
      <c r="Z11" s="1">
        <f t="shared" ca="1" si="6"/>
        <v>0.29850951716186447</v>
      </c>
      <c r="AA11" s="1">
        <f t="shared" ca="1" si="6"/>
        <v>0.30150282874630419</v>
      </c>
      <c r="AB11" s="1">
        <f t="shared" ca="1" si="6"/>
        <v>0.30270610872543391</v>
      </c>
      <c r="AC11" s="1">
        <f t="shared" ca="1" si="6"/>
        <v>0.30318025640392865</v>
      </c>
      <c r="AD11" s="1">
        <f t="shared" ca="1" si="6"/>
        <v>0.30336524705430024</v>
      </c>
      <c r="AE11" s="1">
        <f t="shared" ca="1" si="6"/>
        <v>0.30343676762215122</v>
      </c>
      <c r="AF11" s="1">
        <f t="shared" ca="1" si="6"/>
        <v>0.30346394408821209</v>
      </c>
      <c r="AG11" s="1">
        <f t="shared" ca="1" si="6"/>
        <v>0.30347381880004964</v>
      </c>
      <c r="AH11" s="1">
        <f t="shared" ca="1" si="6"/>
        <v>0.30347694712700457</v>
      </c>
      <c r="AI11" s="1">
        <f t="shared" ca="1" si="6"/>
        <v>0.3034774455187168</v>
      </c>
    </row>
    <row r="12" spans="1:35">
      <c r="A12" s="5">
        <v>2</v>
      </c>
      <c r="B12" s="25">
        <f>'Status Quo'!B12</f>
        <v>0.55746237931999676</v>
      </c>
      <c r="C12" s="18">
        <f ca="1">mpr2_/SUM(mpr1_,mpr2_,mpr3_)</f>
        <v>0.55746237931999676</v>
      </c>
      <c r="J12" t="s">
        <v>100</v>
      </c>
      <c r="K12">
        <f>1/(1+EXP(($E18-len)/2.5))</f>
        <v>0.99898718624880734</v>
      </c>
      <c r="L12">
        <f t="shared" ref="L12:AI12" si="7">1/(1+EXP(($E18-len)/2.5))</f>
        <v>0.99999561571634576</v>
      </c>
      <c r="M12">
        <f t="shared" si="7"/>
        <v>0.99999997149652653</v>
      </c>
      <c r="N12">
        <f t="shared" si="7"/>
        <v>0.99999999972979126</v>
      </c>
      <c r="O12">
        <f t="shared" si="7"/>
        <v>0.9999999999963689</v>
      </c>
      <c r="P12">
        <f t="shared" si="7"/>
        <v>0.99999999999993272</v>
      </c>
      <c r="Q12">
        <f t="shared" si="7"/>
        <v>0.99999999999999822</v>
      </c>
      <c r="R12">
        <f>1/(1+EXP(($E18-len)/2.5))</f>
        <v>1</v>
      </c>
      <c r="S12">
        <f t="shared" si="7"/>
        <v>1</v>
      </c>
      <c r="T12">
        <f t="shared" si="7"/>
        <v>1</v>
      </c>
      <c r="U12">
        <f t="shared" si="7"/>
        <v>1</v>
      </c>
      <c r="V12">
        <f t="shared" si="7"/>
        <v>1</v>
      </c>
      <c r="W12">
        <f t="shared" si="7"/>
        <v>1</v>
      </c>
      <c r="X12">
        <f t="shared" si="7"/>
        <v>1</v>
      </c>
      <c r="Y12">
        <f t="shared" si="7"/>
        <v>1</v>
      </c>
      <c r="Z12">
        <f t="shared" si="7"/>
        <v>1</v>
      </c>
      <c r="AA12">
        <f t="shared" si="7"/>
        <v>1</v>
      </c>
      <c r="AB12">
        <f t="shared" si="7"/>
        <v>1</v>
      </c>
      <c r="AC12">
        <f t="shared" si="7"/>
        <v>1</v>
      </c>
      <c r="AD12">
        <f t="shared" si="7"/>
        <v>1</v>
      </c>
      <c r="AE12">
        <f t="shared" si="7"/>
        <v>1</v>
      </c>
      <c r="AF12">
        <f t="shared" si="7"/>
        <v>1</v>
      </c>
      <c r="AG12">
        <f t="shared" si="7"/>
        <v>1</v>
      </c>
      <c r="AH12">
        <f t="shared" si="7"/>
        <v>1</v>
      </c>
      <c r="AI12">
        <f t="shared" si="7"/>
        <v>1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0.1822512382575707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0.25130389740851267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2.2110530925898132E-2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0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1.7487569691926385E-5</v>
      </c>
      <c r="L18" s="4">
        <f t="shared" ref="K18:O20" si="11">((EXP(g*(ah-age)/gh)/(1+EXP((ah-age)/gh))) *(1/(1-g))*((1-g)/g)^g) *(sr+(1-sr)*dmr)</f>
        <v>4.4902571834539442E-5</v>
      </c>
      <c r="M18" s="4">
        <f t="shared" si="11"/>
        <v>1.1519347993950258E-4</v>
      </c>
      <c r="N18" s="4">
        <f t="shared" si="11"/>
        <v>2.9548485397885941E-4</v>
      </c>
      <c r="O18" s="4">
        <f t="shared" si="11"/>
        <v>7.5773966004096124E-4</v>
      </c>
      <c r="P18" s="4">
        <f t="shared" ref="P18:AI18" si="12">((EXP(g*(ah-age)/gh)/(1+EXP((ah-age)/gh))) *(1/(1-g))*((1-g)/g)^g) *(sr_1+(1-sr_1)*dmr)</f>
        <v>1.9417388932822101E-3</v>
      </c>
      <c r="Q18" s="4">
        <f t="shared" si="12"/>
        <v>4.9665915350332393E-3</v>
      </c>
      <c r="R18" s="4">
        <f t="shared" si="12"/>
        <v>1.264389182496488E-2</v>
      </c>
      <c r="S18" s="4">
        <f t="shared" si="12"/>
        <v>3.1809350428012848E-2</v>
      </c>
      <c r="T18" s="4">
        <f t="shared" si="12"/>
        <v>7.7738615037063016E-2</v>
      </c>
      <c r="U18" s="4">
        <f t="shared" si="12"/>
        <v>0.1778073642559149</v>
      </c>
      <c r="V18" s="4">
        <f t="shared" si="12"/>
        <v>0.35685364201210734</v>
      </c>
      <c r="W18" s="4">
        <f t="shared" si="12"/>
        <v>0.58740290223317881</v>
      </c>
      <c r="X18" s="4">
        <f t="shared" si="12"/>
        <v>0.78510412978957989</v>
      </c>
      <c r="Y18" s="4">
        <f t="shared" si="12"/>
        <v>0.90364572756009798</v>
      </c>
      <c r="Z18" s="4">
        <f t="shared" si="12"/>
        <v>0.9601468195903865</v>
      </c>
      <c r="AA18" s="4">
        <f t="shared" si="12"/>
        <v>0.98412543859081891</v>
      </c>
      <c r="AB18" s="4">
        <f t="shared" si="12"/>
        <v>0.99379356165705124</v>
      </c>
      <c r="AC18" s="4">
        <f t="shared" si="12"/>
        <v>0.99760783010399812</v>
      </c>
      <c r="AD18" s="4">
        <f t="shared" si="12"/>
        <v>0.99909668637752946</v>
      </c>
      <c r="AE18" s="4">
        <f t="shared" si="12"/>
        <v>0.99967240980385075</v>
      </c>
      <c r="AF18" s="4">
        <f t="shared" si="12"/>
        <v>0.9998911893395418</v>
      </c>
      <c r="AG18" s="4">
        <f t="shared" si="12"/>
        <v>0.99997068614848739</v>
      </c>
      <c r="AH18" s="4">
        <f t="shared" si="12"/>
        <v>0.99999587111952148</v>
      </c>
      <c r="AI18" s="4">
        <f t="shared" si="12"/>
        <v>0.99999988349217228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104</v>
      </c>
      <c r="K19" s="4">
        <f t="shared" si="11"/>
        <v>6.9896233013243096E-3</v>
      </c>
      <c r="L19" s="4">
        <f t="shared" si="11"/>
        <v>9.0277807856486064E-2</v>
      </c>
      <c r="M19" s="4">
        <f t="shared" si="11"/>
        <v>0.61907439951896936</v>
      </c>
      <c r="N19" s="4">
        <f t="shared" si="11"/>
        <v>0.9946461158797264</v>
      </c>
      <c r="O19" s="4">
        <f t="shared" si="11"/>
        <v>0.9604335906118534</v>
      </c>
      <c r="P19" s="4">
        <f t="shared" ref="P19:Y19" si="13">((EXP(g*(ah-age)/gh)/(1+EXP((ah-age)/gh))) *(1/(1-g))*((1-g)/g)^g) *(sr_2+(1-sr_2)*dmr)</f>
        <v>0.70745534231686646</v>
      </c>
      <c r="Q19" s="4">
        <f t="shared" si="13"/>
        <v>0.64927927634191906</v>
      </c>
      <c r="R19" s="4">
        <f t="shared" si="13"/>
        <v>0.59575884853910321</v>
      </c>
      <c r="S19" s="4">
        <f t="shared" si="13"/>
        <v>0.54664233469302104</v>
      </c>
      <c r="T19" s="4">
        <f t="shared" si="13"/>
        <v>0.50157468951578632</v>
      </c>
      <c r="U19" s="4">
        <f t="shared" si="13"/>
        <v>0.4602225942502744</v>
      </c>
      <c r="V19" s="4">
        <f t="shared" si="13"/>
        <v>0.42227975176266414</v>
      </c>
      <c r="W19" s="4">
        <f t="shared" si="13"/>
        <v>0.38746508956213166</v>
      </c>
      <c r="X19" s="4">
        <f t="shared" si="13"/>
        <v>0.35552070635652122</v>
      </c>
      <c r="Y19" s="4">
        <f t="shared" si="13"/>
        <v>0.32620996330610219</v>
      </c>
      <c r="Z19" s="4">
        <f>Y19</f>
        <v>0.32620996330610219</v>
      </c>
      <c r="AA19" s="4">
        <f t="shared" ref="AA19:AI20" si="14">Z19</f>
        <v>0.32620996330610219</v>
      </c>
      <c r="AB19" s="4">
        <f t="shared" si="14"/>
        <v>0.32620996330610219</v>
      </c>
      <c r="AC19" s="4">
        <f t="shared" si="14"/>
        <v>0.32620996330610219</v>
      </c>
      <c r="AD19" s="4">
        <f t="shared" si="14"/>
        <v>0.32620996330610219</v>
      </c>
      <c r="AE19" s="4">
        <f t="shared" si="14"/>
        <v>0.32620996330610219</v>
      </c>
      <c r="AF19" s="4">
        <f t="shared" si="14"/>
        <v>0.32620996330610219</v>
      </c>
      <c r="AG19" s="4">
        <f t="shared" si="14"/>
        <v>0.32620996330610219</v>
      </c>
      <c r="AH19" s="4">
        <f t="shared" si="14"/>
        <v>0.32620996330610219</v>
      </c>
      <c r="AI19" s="4">
        <f t="shared" si="14"/>
        <v>0.32620996330610219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1"/>
        <v>6.425318067763868E-4</v>
      </c>
      <c r="L20" s="4">
        <f t="shared" si="11"/>
        <v>2.3037122428849672E-3</v>
      </c>
      <c r="M20" s="4">
        <f t="shared" si="11"/>
        <v>8.2326476994765176E-3</v>
      </c>
      <c r="N20" s="4">
        <f t="shared" si="11"/>
        <v>2.9153635000203768E-2</v>
      </c>
      <c r="O20" s="4">
        <f t="shared" si="11"/>
        <v>9.9687897014627228E-2</v>
      </c>
      <c r="P20" s="4">
        <f t="shared" ref="P20:Y20" si="15">((EXP(g*(ah-age)/gh)/(1+EXP((ah-age)/gh))) *(1/(1-g))*((1-g)/g)^g) *(sr_3+(1-sr_3)*dmr)</f>
        <v>3.3246043236910654E-2</v>
      </c>
      <c r="Q20" s="4">
        <f t="shared" si="15"/>
        <v>0.52071205722667446</v>
      </c>
      <c r="R20" s="4">
        <f t="shared" si="15"/>
        <v>0.93908880481731272</v>
      </c>
      <c r="S20" s="4">
        <f t="shared" si="15"/>
        <v>0.99607347533585666</v>
      </c>
      <c r="T20" s="4">
        <f t="shared" si="15"/>
        <v>0.9352196649008131</v>
      </c>
      <c r="U20" s="4">
        <f t="shared" si="15"/>
        <v>0.84987243594328499</v>
      </c>
      <c r="V20" s="4">
        <f t="shared" si="15"/>
        <v>0.7658549491047888</v>
      </c>
      <c r="W20" s="4">
        <f t="shared" si="15"/>
        <v>0.68868156786342249</v>
      </c>
      <c r="X20" s="4">
        <f t="shared" si="15"/>
        <v>0.61895509223172329</v>
      </c>
      <c r="Y20" s="4">
        <f t="shared" si="15"/>
        <v>0.55621388310667164</v>
      </c>
      <c r="Z20" s="4">
        <f>Y20</f>
        <v>0.55621388310667164</v>
      </c>
      <c r="AA20" s="4">
        <f t="shared" si="14"/>
        <v>0.55621388310667164</v>
      </c>
      <c r="AB20" s="4">
        <f t="shared" si="14"/>
        <v>0.55621388310667164</v>
      </c>
      <c r="AC20" s="4">
        <f t="shared" si="14"/>
        <v>0.55621388310667164</v>
      </c>
      <c r="AD20" s="4">
        <f t="shared" si="14"/>
        <v>0.55621388310667164</v>
      </c>
      <c r="AE20" s="4">
        <f t="shared" si="14"/>
        <v>0.55621388310667164</v>
      </c>
      <c r="AF20" s="4">
        <f t="shared" si="14"/>
        <v>0.55621388310667164</v>
      </c>
      <c r="AG20" s="4">
        <f t="shared" si="14"/>
        <v>0.55621388310667164</v>
      </c>
      <c r="AH20" s="4">
        <f t="shared" si="14"/>
        <v>0.55621388310667164</v>
      </c>
      <c r="AI20" s="4">
        <f t="shared" si="14"/>
        <v>0.55621388310667164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6">wa*flt1_*(1-EXP(-za))/za</f>
        <v>1.139121724052749E-6</v>
      </c>
      <c r="L22" s="1">
        <f t="shared" ca="1" si="16"/>
        <v>1.9239410640622116E-5</v>
      </c>
      <c r="M22" s="1">
        <f t="shared" ca="1" si="16"/>
        <v>1.4779938720706215E-4</v>
      </c>
      <c r="N22" s="1">
        <f t="shared" ca="1" si="16"/>
        <v>8.1127892462515782E-4</v>
      </c>
      <c r="O22" s="1">
        <f t="shared" ca="1" si="16"/>
        <v>3.7101467418724303E-3</v>
      </c>
      <c r="P22" s="1">
        <f t="shared" ca="1" si="16"/>
        <v>1.5111069541512713E-2</v>
      </c>
      <c r="Q22" s="1">
        <f t="shared" ca="1" si="16"/>
        <v>5.5694947423930274E-2</v>
      </c>
      <c r="R22" s="1">
        <f t="shared" ca="1" si="16"/>
        <v>0.19211292962193827</v>
      </c>
      <c r="S22" s="1">
        <f t="shared" ca="1" si="16"/>
        <v>0.62739764622451455</v>
      </c>
      <c r="T22" s="1">
        <f t="shared" ca="1" si="16"/>
        <v>1.9165924068131825</v>
      </c>
      <c r="U22" s="1">
        <f t="shared" ca="1" si="16"/>
        <v>5.294937804952764</v>
      </c>
      <c r="V22" s="1">
        <f t="shared" ca="1" si="16"/>
        <v>12.439473703201342</v>
      </c>
      <c r="W22" s="1">
        <f t="shared" ca="1" si="16"/>
        <v>23.379733252197546</v>
      </c>
      <c r="X22" s="1">
        <f t="shared" ca="1" si="16"/>
        <v>35.166432597605592</v>
      </c>
      <c r="Y22" s="1">
        <f t="shared" ca="1" si="16"/>
        <v>45.184091195857626</v>
      </c>
      <c r="Z22" s="1">
        <f t="shared" ca="1" si="16"/>
        <v>53.115070696574897</v>
      </c>
      <c r="AA22" s="1">
        <f t="shared" ca="1" si="16"/>
        <v>59.741007951813323</v>
      </c>
      <c r="AB22" s="1">
        <f t="shared" ca="1" si="16"/>
        <v>65.65212402788103</v>
      </c>
      <c r="AC22" s="1">
        <f t="shared" ca="1" si="16"/>
        <v>71.15897642718825</v>
      </c>
      <c r="AD22" s="1">
        <f t="shared" ca="1" si="16"/>
        <v>76.39777680586549</v>
      </c>
      <c r="AE22" s="1">
        <f t="shared" ca="1" si="16"/>
        <v>81.420443164837465</v>
      </c>
      <c r="AF22" s="1">
        <f t="shared" ca="1" si="16"/>
        <v>86.242785378140653</v>
      </c>
      <c r="AG22" s="1">
        <f t="shared" ca="1" si="16"/>
        <v>90.866865774233901</v>
      </c>
      <c r="AH22" s="1">
        <f t="shared" ca="1" si="16"/>
        <v>95.290665802478443</v>
      </c>
      <c r="AI22" s="1">
        <f t="shared" ca="1" si="16"/>
        <v>99.51200348021608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7">wa*flt2_*(1-EXP(-za))/za</f>
        <v>4.5529664131429919E-4</v>
      </c>
      <c r="L23" s="1">
        <f t="shared" ca="1" si="17"/>
        <v>3.8681343765483045E-2</v>
      </c>
      <c r="M23" s="1">
        <f t="shared" ca="1" si="17"/>
        <v>0.79430551913647451</v>
      </c>
      <c r="N23" s="1">
        <f t="shared" ca="1" si="17"/>
        <v>2.7308859334334175</v>
      </c>
      <c r="O23" s="1">
        <f t="shared" ca="1" si="17"/>
        <v>4.7026040009583019</v>
      </c>
      <c r="P23" s="1">
        <f t="shared" ca="1" si="17"/>
        <v>5.5055841505004643</v>
      </c>
      <c r="Q23" s="1">
        <f t="shared" ca="1" si="17"/>
        <v>7.2809641993376983</v>
      </c>
      <c r="R23" s="1">
        <f t="shared" ca="1" si="17"/>
        <v>9.052037088379441</v>
      </c>
      <c r="S23" s="1">
        <f t="shared" ca="1" si="17"/>
        <v>10.781801875810887</v>
      </c>
      <c r="T23" s="1">
        <f t="shared" ca="1" si="17"/>
        <v>12.365981062530057</v>
      </c>
      <c r="U23" s="1">
        <f t="shared" ca="1" si="17"/>
        <v>13.705000482892826</v>
      </c>
      <c r="V23" s="1">
        <f t="shared" ca="1" si="17"/>
        <v>14.720146438263978</v>
      </c>
      <c r="W23" s="1">
        <f t="shared" ca="1" si="17"/>
        <v>15.421834662480821</v>
      </c>
      <c r="X23" s="1">
        <f t="shared" ca="1" si="17"/>
        <v>15.924505403494146</v>
      </c>
      <c r="Y23" s="1">
        <f t="shared" ca="1" si="17"/>
        <v>16.311149692278079</v>
      </c>
      <c r="Z23" s="1">
        <f t="shared" ca="1" si="17"/>
        <v>18.045849769436867</v>
      </c>
      <c r="AA23" s="1">
        <f t="shared" ca="1" si="17"/>
        <v>19.802467498183816</v>
      </c>
      <c r="AB23" s="1">
        <f t="shared" ca="1" si="17"/>
        <v>21.550126501517152</v>
      </c>
      <c r="AC23" s="1">
        <f t="shared" ca="1" si="17"/>
        <v>23.268429124892691</v>
      </c>
      <c r="AD23" s="1">
        <f t="shared" ca="1" si="17"/>
        <v>24.944248447934477</v>
      </c>
      <c r="AE23" s="1">
        <f t="shared" ca="1" si="17"/>
        <v>26.568863476365895</v>
      </c>
      <c r="AF23" s="1">
        <f t="shared" ca="1" si="17"/>
        <v>28.136317384896817</v>
      </c>
      <c r="AG23" s="1">
        <f t="shared" ca="1" si="17"/>
        <v>29.642545887141946</v>
      </c>
      <c r="AH23" s="1">
        <f t="shared" ca="1" si="17"/>
        <v>31.084892940648178</v>
      </c>
      <c r="AI23" s="1">
        <f t="shared" ca="1" si="17"/>
        <v>32.461810785853061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8">wa*flt3_*(1-EXP(-za))/za</f>
        <v>4.1853839749485451E-5</v>
      </c>
      <c r="L24" s="1">
        <f t="shared" ca="1" si="18"/>
        <v>9.8707187646208624E-4</v>
      </c>
      <c r="M24" s="1">
        <f t="shared" ca="1" si="18"/>
        <v>1.0562926701348802E-2</v>
      </c>
      <c r="N24" s="1">
        <f t="shared" ca="1" si="18"/>
        <v>8.0043796943892936E-2</v>
      </c>
      <c r="O24" s="1">
        <f t="shared" ca="1" si="18"/>
        <v>0.48810527654437441</v>
      </c>
      <c r="P24" s="1">
        <f t="shared" ca="1" si="18"/>
        <v>0.25872854124268674</v>
      </c>
      <c r="Q24" s="1">
        <f t="shared" ca="1" si="18"/>
        <v>5.8392220188995498</v>
      </c>
      <c r="R24" s="1">
        <f t="shared" ca="1" si="18"/>
        <v>14.268636901211357</v>
      </c>
      <c r="S24" s="1">
        <f t="shared" ca="1" si="18"/>
        <v>19.646240664570168</v>
      </c>
      <c r="T24" s="1">
        <f t="shared" ca="1" si="18"/>
        <v>23.057201464120475</v>
      </c>
      <c r="U24" s="1">
        <f t="shared" ca="1" si="18"/>
        <v>25.308410083547475</v>
      </c>
      <c r="V24" s="1">
        <f t="shared" ca="1" si="18"/>
        <v>26.696750090986587</v>
      </c>
      <c r="W24" s="1">
        <f t="shared" ca="1" si="18"/>
        <v>27.410813414674585</v>
      </c>
      <c r="X24" s="1">
        <f t="shared" ca="1" si="18"/>
        <v>27.724274661178253</v>
      </c>
      <c r="Y24" s="1">
        <f t="shared" ca="1" si="18"/>
        <v>27.811805060542955</v>
      </c>
      <c r="Z24" s="1">
        <f t="shared" ca="1" si="18"/>
        <v>30.769606398561997</v>
      </c>
      <c r="AA24" s="1">
        <f t="shared" ca="1" si="18"/>
        <v>33.764779072437484</v>
      </c>
      <c r="AB24" s="1">
        <f t="shared" ca="1" si="18"/>
        <v>36.744676408308294</v>
      </c>
      <c r="AC24" s="1">
        <f t="shared" ca="1" si="18"/>
        <v>39.674518785940577</v>
      </c>
      <c r="AD24" s="1">
        <f t="shared" ca="1" si="18"/>
        <v>42.531923764033188</v>
      </c>
      <c r="AE24" s="1">
        <f t="shared" ca="1" si="18"/>
        <v>45.302021355041951</v>
      </c>
      <c r="AF24" s="1">
        <f t="shared" ca="1" si="18"/>
        <v>47.974654698973936</v>
      </c>
      <c r="AG24" s="1">
        <f t="shared" ca="1" si="18"/>
        <v>50.542893864905132</v>
      </c>
      <c r="AH24" s="1">
        <f t="shared" ca="1" si="18"/>
        <v>53.00221008960721</v>
      </c>
      <c r="AI24" s="1">
        <f t="shared" ca="1" si="18"/>
        <v>55.349964320159714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1.6236391237603826E-5</v>
      </c>
      <c r="L26">
        <f t="shared" ref="L26:AI26" ca="1" si="19">qa1_/wa</f>
        <v>4.1608907655407579E-5</v>
      </c>
      <c r="M26">
        <f t="shared" ca="1" si="19"/>
        <v>1.0544526165923699E-4</v>
      </c>
      <c r="N26">
        <f t="shared" ca="1" si="19"/>
        <v>2.6807409208094723E-4</v>
      </c>
      <c r="O26">
        <f t="shared" ca="1" si="19"/>
        <v>6.8720243314797326E-4</v>
      </c>
      <c r="P26">
        <f t="shared" ca="1" si="19"/>
        <v>1.772853284405821E-3</v>
      </c>
      <c r="Q26">
        <f t="shared" ca="1" si="19"/>
        <v>4.5051010221074158E-3</v>
      </c>
      <c r="R26">
        <f t="shared" ca="1" si="19"/>
        <v>1.1401022791284764E-2</v>
      </c>
      <c r="S26">
        <f t="shared" ca="1" si="19"/>
        <v>2.8642006818728815E-2</v>
      </c>
      <c r="T26">
        <f t="shared" ca="1" si="19"/>
        <v>6.985968843223167E-2</v>
      </c>
      <c r="U26">
        <f t="shared" ca="1" si="19"/>
        <v>0.15877862066258655</v>
      </c>
      <c r="V26">
        <f t="shared" ca="1" si="19"/>
        <v>0.31449818676487445</v>
      </c>
      <c r="W26">
        <f t="shared" ca="1" si="19"/>
        <v>0.50863104968796302</v>
      </c>
      <c r="X26">
        <f t="shared" ca="1" si="19"/>
        <v>0.6697417270726328</v>
      </c>
      <c r="Y26">
        <f t="shared" ca="1" si="19"/>
        <v>0.76443788506140042</v>
      </c>
      <c r="Z26">
        <f t="shared" ca="1" si="19"/>
        <v>0.80838985650980177</v>
      </c>
      <c r="AA26">
        <f t="shared" ca="1" si="19"/>
        <v>0.82691369448050189</v>
      </c>
      <c r="AB26">
        <f t="shared" ca="1" si="19"/>
        <v>0.83436082620394203</v>
      </c>
      <c r="AC26">
        <f t="shared" ca="1" si="19"/>
        <v>0.8372954560998136</v>
      </c>
      <c r="AD26">
        <f t="shared" ca="1" si="19"/>
        <v>0.83844043193354456</v>
      </c>
      <c r="AE26">
        <f t="shared" ca="1" si="19"/>
        <v>0.83888310199952421</v>
      </c>
      <c r="AF26">
        <f t="shared" ca="1" si="19"/>
        <v>0.8390513086671253</v>
      </c>
      <c r="AG26">
        <f t="shared" ca="1" si="19"/>
        <v>0.83911242749832216</v>
      </c>
      <c r="AH26">
        <f t="shared" ca="1" si="19"/>
        <v>0.839131790062984</v>
      </c>
      <c r="AI26">
        <f t="shared" ca="1" si="19"/>
        <v>0.83913487482449756</v>
      </c>
      <c r="AM26" s="44"/>
    </row>
    <row r="27" spans="1:39">
      <c r="A27" t="s">
        <v>14</v>
      </c>
      <c r="B27" s="28">
        <f ca="1">fbar*C27</f>
        <v>0.17833402466233739</v>
      </c>
      <c r="C27" s="36">
        <f ca="1">CHOOSE(C$25,E36,E39,1)</f>
        <v>2.0754745212246308</v>
      </c>
      <c r="E27" s="42">
        <f ca="1">f1_/(F4/(f1_*365*re*phib))</f>
        <v>228.63639955757506</v>
      </c>
      <c r="J27" s="8" t="s">
        <v>31</v>
      </c>
      <c r="K27">
        <f t="shared" ref="K27:AI27" ca="1" si="20">qa2_/wa</f>
        <v>6.4895385993039168E-3</v>
      </c>
      <c r="L27">
        <f t="shared" ca="1" si="20"/>
        <v>8.3655808942857318E-2</v>
      </c>
      <c r="M27">
        <f t="shared" ca="1" si="20"/>
        <v>0.56668538946905467</v>
      </c>
      <c r="N27">
        <f t="shared" ca="1" si="20"/>
        <v>0.90237740062093019</v>
      </c>
      <c r="O27">
        <f t="shared" ca="1" si="20"/>
        <v>0.87102778850170226</v>
      </c>
      <c r="P27">
        <f t="shared" ca="1" si="20"/>
        <v>0.64592336875780698</v>
      </c>
      <c r="Q27">
        <f t="shared" ca="1" si="20"/>
        <v>0.58894892218302108</v>
      </c>
      <c r="R27">
        <f t="shared" ca="1" si="20"/>
        <v>0.53719695678610802</v>
      </c>
      <c r="S27">
        <f t="shared" ca="1" si="20"/>
        <v>0.49221166943085704</v>
      </c>
      <c r="T27">
        <f t="shared" ca="1" si="20"/>
        <v>0.45073933357779022</v>
      </c>
      <c r="U27">
        <f t="shared" ca="1" si="20"/>
        <v>0.41097009124797795</v>
      </c>
      <c r="V27">
        <f t="shared" ca="1" si="20"/>
        <v>0.37215878052429485</v>
      </c>
      <c r="W27">
        <f t="shared" ca="1" si="20"/>
        <v>0.33550528005936697</v>
      </c>
      <c r="X27">
        <f t="shared" ca="1" si="20"/>
        <v>0.30328085517664427</v>
      </c>
      <c r="Y27">
        <f t="shared" ca="1" si="20"/>
        <v>0.27595687870840885</v>
      </c>
      <c r="Z27">
        <f t="shared" ca="1" si="20"/>
        <v>0.27465052224157566</v>
      </c>
      <c r="AA27">
        <f t="shared" ca="1" si="20"/>
        <v>0.27409868229811496</v>
      </c>
      <c r="AB27">
        <f t="shared" ca="1" si="20"/>
        <v>0.27387661281102427</v>
      </c>
      <c r="AC27">
        <f t="shared" ca="1" si="20"/>
        <v>0.27378906998175101</v>
      </c>
      <c r="AD27">
        <f t="shared" ca="1" si="20"/>
        <v>0.27375490907397876</v>
      </c>
      <c r="AE27">
        <f t="shared" ca="1" si="20"/>
        <v>0.27374170101890499</v>
      </c>
      <c r="AF27">
        <f t="shared" ca="1" si="20"/>
        <v>0.27373668208140883</v>
      </c>
      <c r="AG27">
        <f t="shared" ca="1" si="20"/>
        <v>0.27373485840691514</v>
      </c>
      <c r="AH27">
        <f t="shared" ca="1" si="20"/>
        <v>0.27373428066155758</v>
      </c>
      <c r="AI27">
        <f t="shared" ca="1" si="20"/>
        <v>0.27373418861754567</v>
      </c>
    </row>
    <row r="28" spans="1:39">
      <c r="A28" t="s">
        <v>15</v>
      </c>
      <c r="B28" s="28">
        <f ca="1">fbar*C28</f>
        <v>4.7234717768868714E-2</v>
      </c>
      <c r="C28" s="36">
        <f ca="1">CHOOSE(C$25,E37,E40,1)</f>
        <v>0.54972377498990743</v>
      </c>
      <c r="E28" s="42">
        <f ca="1">f2_/(F5/(f2_*365*re*phib))</f>
        <v>39.41154727842293</v>
      </c>
      <c r="J28" s="8" t="s">
        <v>32</v>
      </c>
      <c r="K28">
        <f t="shared" ref="K28:AI28" ca="1" si="21">qa3_/wa</f>
        <v>5.9656075608049085E-4</v>
      </c>
      <c r="L28">
        <f t="shared" ca="1" si="21"/>
        <v>2.1347318441368212E-3</v>
      </c>
      <c r="M28">
        <f t="shared" ca="1" si="21"/>
        <v>7.5359620290620898E-3</v>
      </c>
      <c r="N28">
        <f t="shared" ca="1" si="21"/>
        <v>2.6449187253767339E-2</v>
      </c>
      <c r="O28">
        <f t="shared" ca="1" si="21"/>
        <v>9.0408050411606003E-2</v>
      </c>
      <c r="P28">
        <f t="shared" ca="1" si="21"/>
        <v>3.035441951024908E-2</v>
      </c>
      <c r="Q28">
        <f t="shared" ca="1" si="21"/>
        <v>0.47232803517027022</v>
      </c>
      <c r="R28">
        <f t="shared" ca="1" si="21"/>
        <v>0.84677827167287467</v>
      </c>
      <c r="S28">
        <f t="shared" ca="1" si="21"/>
        <v>0.89689172801843897</v>
      </c>
      <c r="T28">
        <f t="shared" ca="1" si="21"/>
        <v>0.84043373263747878</v>
      </c>
      <c r="U28">
        <f t="shared" ca="1" si="21"/>
        <v>0.75892004632613685</v>
      </c>
      <c r="V28">
        <f t="shared" ca="1" si="21"/>
        <v>0.67495455969085882</v>
      </c>
      <c r="W28">
        <f t="shared" ca="1" si="21"/>
        <v>0.59632805257076116</v>
      </c>
      <c r="X28">
        <f t="shared" ca="1" si="21"/>
        <v>0.52800646019118291</v>
      </c>
      <c r="Y28">
        <f t="shared" ca="1" si="21"/>
        <v>0.47052838460476804</v>
      </c>
      <c r="Z28">
        <f t="shared" ca="1" si="21"/>
        <v>0.46830094312574433</v>
      </c>
      <c r="AA28">
        <f t="shared" ca="1" si="21"/>
        <v>0.46736001221518958</v>
      </c>
      <c r="AB28">
        <f t="shared" ca="1" si="21"/>
        <v>0.46698136611105961</v>
      </c>
      <c r="AC28">
        <f t="shared" ca="1" si="21"/>
        <v>0.46683209863769753</v>
      </c>
      <c r="AD28">
        <f t="shared" ca="1" si="21"/>
        <v>0.46677385157813545</v>
      </c>
      <c r="AE28">
        <f t="shared" ca="1" si="21"/>
        <v>0.46675133079573361</v>
      </c>
      <c r="AF28">
        <f t="shared" ca="1" si="21"/>
        <v>0.46674277310888229</v>
      </c>
      <c r="AG28">
        <f t="shared" ca="1" si="21"/>
        <v>0.46673966359910102</v>
      </c>
      <c r="AH28">
        <f t="shared" ca="1" si="21"/>
        <v>0.46673867849740291</v>
      </c>
      <c r="AI28">
        <f t="shared" ca="1" si="21"/>
        <v>0.46673852155505585</v>
      </c>
    </row>
    <row r="29" spans="1:39">
      <c r="A29" t="s">
        <v>19</v>
      </c>
      <c r="B29" s="28">
        <f ca="1">fbar*C29</f>
        <v>3.2204633496018008E-2</v>
      </c>
      <c r="C29" s="36">
        <f ca="1">CHOOSE(C$25,E38,E41,1)</f>
        <v>0.37480170378546218</v>
      </c>
      <c r="E29" s="42">
        <f ca="1">f3_/(F6/(f3_*365*re*phib))</f>
        <v>22.024520999808882</v>
      </c>
    </row>
    <row r="30" spans="1:39">
      <c r="A30" t="s">
        <v>95</v>
      </c>
      <c r="B30" s="28">
        <v>8.5924458642408025E-2</v>
      </c>
      <c r="C30" s="36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0.2577733759272241</v>
      </c>
      <c r="G31">
        <f ca="1">SUMPRODUCT(dlz1_,wa,ma)</f>
        <v>-61.707672299990669</v>
      </c>
      <c r="H31">
        <f ca="1">Ro/(reck-1)*phie/phif^2*dphif</f>
        <v>-9163.3989948573944</v>
      </c>
      <c r="J31" s="8" t="s">
        <v>52</v>
      </c>
      <c r="K31">
        <v>0</v>
      </c>
      <c r="L31">
        <f t="shared" ref="L31:AH31" ca="1" si="22">K31*sa-K$7*K18*K$10</f>
        <v>-1.5046363908070795E-5</v>
      </c>
      <c r="M31">
        <f t="shared" ca="1" si="22"/>
        <v>-4.5682372382163775E-5</v>
      </c>
      <c r="N31">
        <f t="shared" ca="1" si="22"/>
        <v>-1.0845652330776677E-4</v>
      </c>
      <c r="O31">
        <f t="shared" ca="1" si="22"/>
        <v>-2.3827967471804634E-4</v>
      </c>
      <c r="P31">
        <f t="shared" ca="1" si="22"/>
        <v>-5.1207900394250596E-4</v>
      </c>
      <c r="Q31">
        <f t="shared" ca="1" si="22"/>
        <v>-1.0888305501616281E-3</v>
      </c>
      <c r="R31">
        <f t="shared" ca="1" si="22"/>
        <v>-2.2850977417115778E-3</v>
      </c>
      <c r="S31">
        <f t="shared" ca="1" si="22"/>
        <v>-4.7391592356895258E-3</v>
      </c>
      <c r="T31">
        <f t="shared" ca="1" si="22"/>
        <v>-9.6916768359739929E-3</v>
      </c>
      <c r="U31">
        <f t="shared" ca="1" si="22"/>
        <v>-1.9252317755244219E-2</v>
      </c>
      <c r="V31">
        <f t="shared" ca="1" si="22"/>
        <v>-3.5858109173913591E-2</v>
      </c>
      <c r="W31">
        <f t="shared" ca="1" si="22"/>
        <v>-5.9225893216200309E-2</v>
      </c>
      <c r="X31">
        <f t="shared" ca="1" si="22"/>
        <v>-8.2581387718640292E-2</v>
      </c>
      <c r="Y31">
        <f t="shared" ca="1" si="22"/>
        <v>-9.6946205425300747E-2</v>
      </c>
      <c r="Z31">
        <f t="shared" ca="1" si="22"/>
        <v>-9.9349318001326958E-2</v>
      </c>
      <c r="AA31">
        <f t="shared" ca="1" si="22"/>
        <v>-9.2756385709223871E-2</v>
      </c>
      <c r="AB31">
        <f t="shared" ca="1" si="22"/>
        <v>-8.1403687976041222E-2</v>
      </c>
      <c r="AC31">
        <f t="shared" ca="1" si="22"/>
        <v>-6.8500667780810792E-2</v>
      </c>
      <c r="AD31">
        <f t="shared" ca="1" si="22"/>
        <v>-5.5957868542642689E-2</v>
      </c>
      <c r="AE31">
        <f t="shared" ca="1" si="22"/>
        <v>-4.4725581851742052E-2</v>
      </c>
      <c r="AF31">
        <f t="shared" ca="1" si="22"/>
        <v>-3.5158706534177825E-2</v>
      </c>
      <c r="AG31">
        <f t="shared" ca="1" si="22"/>
        <v>-2.7279702917688584E-2</v>
      </c>
      <c r="AH31">
        <f t="shared" ca="1" si="22"/>
        <v>-2.0944922289506306E-2</v>
      </c>
      <c r="AI31">
        <f ca="1">(AH31*sa-AH$7*AH18*AH$10)/oa-AH$7*AH$10*flt1_*sa/oa^2</f>
        <v>-6.2773829881454524E-2</v>
      </c>
    </row>
    <row r="32" spans="1:39">
      <c r="A32" s="12" t="s">
        <v>22</v>
      </c>
      <c r="B32" s="12"/>
      <c r="C32" s="12"/>
      <c r="G32">
        <f ca="1">SUMPRODUCT(dlz2_,wa,ma)</f>
        <v>-159.8280130620974</v>
      </c>
      <c r="H32">
        <f ca="1">Ro/(reck-1)*phie/phif^2*dphif</f>
        <v>-23733.966938880942</v>
      </c>
      <c r="J32" s="8" t="s">
        <v>53</v>
      </c>
      <c r="K32">
        <v>0</v>
      </c>
      <c r="L32">
        <f t="shared" ref="L32:AH32" ca="1" si="23">K32*sa-K$7*K19*K$10</f>
        <v>-6.0138954482972327E-3</v>
      </c>
      <c r="M32">
        <f t="shared" ca="1" si="23"/>
        <v>-7.159142379177777E-2</v>
      </c>
      <c r="N32">
        <f t="shared" ca="1" si="23"/>
        <v>-0.44018979477338527</v>
      </c>
      <c r="O32">
        <f t="shared" ca="1" si="23"/>
        <v>-0.86365824898183252</v>
      </c>
      <c r="P32">
        <f t="shared" ca="1" si="23"/>
        <v>-1.1159176942706184</v>
      </c>
      <c r="Q32">
        <f t="shared" ca="1" si="23"/>
        <v>-1.1588667433027955</v>
      </c>
      <c r="R32">
        <f t="shared" ca="1" si="23"/>
        <v>-1.1221823765036378</v>
      </c>
      <c r="S32">
        <f t="shared" ca="1" si="23"/>
        <v>-1.0427173093739106</v>
      </c>
      <c r="T32">
        <f t="shared" ca="1" si="23"/>
        <v>-0.93978914098226296</v>
      </c>
      <c r="U32">
        <f t="shared" ca="1" si="23"/>
        <v>-0.82065851296204695</v>
      </c>
      <c r="V32">
        <f t="shared" ca="1" si="23"/>
        <v>-0.68820126595873476</v>
      </c>
      <c r="W32">
        <f t="shared" ca="1" si="23"/>
        <v>-0.55076707056781049</v>
      </c>
      <c r="X32">
        <f t="shared" ca="1" si="23"/>
        <v>-0.42354848259711692</v>
      </c>
      <c r="Y32">
        <f t="shared" ca="1" si="23"/>
        <v>-0.31752624003296687</v>
      </c>
      <c r="Z32">
        <f t="shared" ca="1" si="23"/>
        <v>-0.23405605671609286</v>
      </c>
      <c r="AA32">
        <f t="shared" ca="1" si="23"/>
        <v>-0.17142445237884157</v>
      </c>
      <c r="AB32">
        <f t="shared" ca="1" si="23"/>
        <v>-0.12507716676243846</v>
      </c>
      <c r="AC32">
        <f t="shared" ca="1" si="23"/>
        <v>-9.1021997072287419E-2</v>
      </c>
      <c r="AD32">
        <f t="shared" ca="1" si="23"/>
        <v>-6.6102822801493724E-2</v>
      </c>
      <c r="AE32">
        <f t="shared" ca="1" si="23"/>
        <v>-4.7921346282455014E-2</v>
      </c>
      <c r="AF32">
        <f t="shared" ca="1" si="23"/>
        <v>-3.4686081519819362E-2</v>
      </c>
      <c r="AG32">
        <f t="shared" ca="1" si="23"/>
        <v>-2.5070231246196461E-2</v>
      </c>
      <c r="AH32">
        <f t="shared" ca="1" si="23"/>
        <v>-1.8096158346339448E-2</v>
      </c>
      <c r="AI32">
        <f ca="1">(AH32*sa-AH$7*AH19*AH$10)/oa-AH$7*AH$10*flt2_*sa/oa^2</f>
        <v>-4.6329235454315117E-2</v>
      </c>
    </row>
    <row r="33" spans="1:35">
      <c r="A33" s="59" t="s">
        <v>130</v>
      </c>
      <c r="B33" s="60">
        <f ca="1">SUMPRODUCT(lz,wa)</f>
        <v>58.160424650962383</v>
      </c>
      <c r="C33" s="59"/>
      <c r="D33" s="61"/>
      <c r="E33" s="61"/>
      <c r="G33">
        <f ca="1">SUMPRODUCT(dlz3_,wa,ma)</f>
        <v>-139.49039920661562</v>
      </c>
      <c r="H33">
        <f ca="1">Ro/(reck-1)*phie/phif^2*dphif</f>
        <v>-20713.894014154081</v>
      </c>
      <c r="J33" s="8" t="s">
        <v>54</v>
      </c>
      <c r="K33">
        <v>0</v>
      </c>
      <c r="L33">
        <f t="shared" ref="L33:AH33" ca="1" si="24">K33*sa-K$7*K20*K$10</f>
        <v>-5.5283653232450784E-4</v>
      </c>
      <c r="M33">
        <f t="shared" ca="1" si="24"/>
        <v>-2.1606150952202027E-3</v>
      </c>
      <c r="N33">
        <f t="shared" ca="1" si="24"/>
        <v>-6.8452839571966481E-3</v>
      </c>
      <c r="O33">
        <f t="shared" ca="1" si="24"/>
        <v>-2.0348921466730594E-2</v>
      </c>
      <c r="P33">
        <f t="shared" ca="1" si="24"/>
        <v>-5.8226010092190972E-2</v>
      </c>
      <c r="Q33">
        <f t="shared" ca="1" si="24"/>
        <v>-5.9203699583467148E-2</v>
      </c>
      <c r="R33">
        <f t="shared" ca="1" si="24"/>
        <v>-0.19506116247743588</v>
      </c>
      <c r="S33">
        <f t="shared" ca="1" si="24"/>
        <v>-0.37245612095574365</v>
      </c>
      <c r="T33">
        <f t="shared" ca="1" si="24"/>
        <v>-0.48371074414353793</v>
      </c>
      <c r="U33">
        <f t="shared" ca="1" si="24"/>
        <v>-0.52305970962271264</v>
      </c>
      <c r="V33">
        <f t="shared" ca="1" si="24"/>
        <v>-0.50432769678712641</v>
      </c>
      <c r="W33">
        <f t="shared" ca="1" si="24"/>
        <v>-0.44522353449303032</v>
      </c>
      <c r="X33">
        <f t="shared" ca="1" si="24"/>
        <v>-0.3678643886335714</v>
      </c>
      <c r="Y33">
        <f t="shared" ca="1" si="24"/>
        <v>-0.29096345637210425</v>
      </c>
      <c r="Z33">
        <f t="shared" ca="1" si="24"/>
        <v>-0.22340008196153766</v>
      </c>
      <c r="AA33">
        <f t="shared" ca="1" si="24"/>
        <v>-0.16957747020668645</v>
      </c>
      <c r="AB33">
        <f t="shared" ca="1" si="24"/>
        <v>-0.12769819750283154</v>
      </c>
      <c r="AC33">
        <f t="shared" ca="1" si="24"/>
        <v>-9.5574049166335565E-2</v>
      </c>
      <c r="AD33">
        <f t="shared" ca="1" si="24"/>
        <v>-7.1173238458175109E-2</v>
      </c>
      <c r="AE33">
        <f t="shared" ca="1" si="24"/>
        <v>-5.2776328374394693E-2</v>
      </c>
      <c r="AF33">
        <f t="shared" ca="1" si="24"/>
        <v>-3.898938623292527E-2</v>
      </c>
      <c r="AG33">
        <f t="shared" ca="1" si="24"/>
        <v>-2.8709547398394271E-2</v>
      </c>
      <c r="AH33">
        <f t="shared" ca="1" si="24"/>
        <v>-2.1078162146653943E-2</v>
      </c>
      <c r="AI33">
        <f ca="1">(AH33*sa-AH$7*AH20*AH$10)/oa-AH$7*AH$10*flt3_*sa/oa^2</f>
        <v>-5.6554947065081809E-2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24.742577605997006</v>
      </c>
      <c r="F35" s="37"/>
      <c r="G35" s="1">
        <f ca="1">SUM(dqa11_)</f>
        <v>857.10006035357219</v>
      </c>
      <c r="H35" s="1">
        <f ca="1">SUM(dqa12_)</f>
        <v>860.45597272066016</v>
      </c>
      <c r="I35" s="11">
        <f ca="1">SUM(dqa13_)</f>
        <v>858.29504334721344</v>
      </c>
      <c r="J35" s="8" t="s">
        <v>62</v>
      </c>
      <c r="K35">
        <f ca="1">flt1_*qa1_+lz*wa*flt1_^2/za*(sa-oa/za)</f>
        <v>1.0209734755112223E-11</v>
      </c>
      <c r="L35">
        <f t="shared" ref="L35:AI35" ca="1" si="25">flt1_*qa1_+lz*wa*flt1_^2/za*(sa-oa/za)</f>
        <v>5.018049078262525E-10</v>
      </c>
      <c r="M35">
        <f t="shared" ca="1" si="25"/>
        <v>1.0936399014084129E-8</v>
      </c>
      <c r="N35">
        <f t="shared" ca="1" si="25"/>
        <v>1.6830125717705365E-7</v>
      </c>
      <c r="O35">
        <f t="shared" ca="1" si="25"/>
        <v>2.1242760987325671E-6</v>
      </c>
      <c r="P35">
        <f t="shared" ca="1" si="25"/>
        <v>2.3449255374200047E-5</v>
      </c>
      <c r="Q35">
        <f t="shared" ca="1" si="25"/>
        <v>2.3054507483567796E-4</v>
      </c>
      <c r="R35">
        <f t="shared" ca="1" si="25"/>
        <v>2.0979849636053164E-3</v>
      </c>
      <c r="S35">
        <f t="shared" ca="1" si="25"/>
        <v>1.7754785229298721E-2</v>
      </c>
      <c r="T35">
        <f t="shared" ca="1" si="25"/>
        <v>0.13572264374089857</v>
      </c>
      <c r="U35">
        <f t="shared" ca="1" si="25"/>
        <v>0.87417906677373935</v>
      </c>
      <c r="V35">
        <f t="shared" ca="1" si="25"/>
        <v>4.1883512999167412</v>
      </c>
      <c r="W35">
        <f t="shared" ca="1" si="25"/>
        <v>13.138043734154449</v>
      </c>
      <c r="X35">
        <f t="shared" ca="1" si="25"/>
        <v>26.723402605287831</v>
      </c>
      <c r="Y35">
        <f t="shared" ca="1" si="25"/>
        <v>39.888379961246542</v>
      </c>
      <c r="Z35">
        <f t="shared" ca="1" si="25"/>
        <v>50.165994782344661</v>
      </c>
      <c r="AA35">
        <f t="shared" ca="1" si="25"/>
        <v>58.120091284256908</v>
      </c>
      <c r="AB35">
        <f t="shared" ca="1" si="25"/>
        <v>64.723484912727699</v>
      </c>
      <c r="AC35">
        <f t="shared" ca="1" si="25"/>
        <v>70.593394072948655</v>
      </c>
      <c r="AD35">
        <f t="shared" ca="1" si="25"/>
        <v>76.032562720798097</v>
      </c>
      <c r="AE35">
        <f t="shared" ca="1" si="25"/>
        <v>81.173736742712379</v>
      </c>
      <c r="AF35">
        <f t="shared" ca="1" si="25"/>
        <v>86.071021641582675</v>
      </c>
      <c r="AG35">
        <f t="shared" ca="1" si="25"/>
        <v>90.74502543389589</v>
      </c>
      <c r="AH35">
        <f t="shared" ca="1" si="25"/>
        <v>95.203219278053439</v>
      </c>
      <c r="AI35">
        <f t="shared" ca="1" si="25"/>
        <v>99.303341104582728</v>
      </c>
    </row>
    <row r="36" spans="1:35">
      <c r="A36" t="s">
        <v>33</v>
      </c>
      <c r="B36" s="1">
        <f ca="1">SUMPRODUCT(lz,ta1_)</f>
        <v>0.31067690292876787</v>
      </c>
      <c r="C36" s="29">
        <f ca="1">B11/(phi_t1/SUM(B$36:B$38))</f>
        <v>3.3741990339546057</v>
      </c>
      <c r="E36" s="38">
        <f ca="1">C36/AVERAGE(C$36:C$38)</f>
        <v>2.0754745212246308</v>
      </c>
      <c r="G36" s="1">
        <f ca="1">SUM(dqa21_)</f>
        <v>860.45597272066016</v>
      </c>
      <c r="H36" s="1">
        <f ca="1">SUM(dqa22_)</f>
        <v>139.32108914054726</v>
      </c>
      <c r="I36" s="11">
        <f ca="1">SUM(dqa23_)</f>
        <v>856.07790881153221</v>
      </c>
      <c r="J36" s="8" t="s">
        <v>63</v>
      </c>
      <c r="K36">
        <f t="shared" ref="K36:AI36" ca="1" si="26">flt2_*qa2_+lz*wa*flt2_^2/za*(sa-oa/za)</f>
        <v>1.6310342615314452E-6</v>
      </c>
      <c r="L36">
        <f t="shared" ca="1" si="26"/>
        <v>2.0284041094489188E-3</v>
      </c>
      <c r="M36">
        <f t="shared" ca="1" si="26"/>
        <v>0.3158669890711554</v>
      </c>
      <c r="N36">
        <f t="shared" ca="1" si="26"/>
        <v>1.9070149288725649</v>
      </c>
      <c r="O36">
        <f t="shared" ca="1" si="26"/>
        <v>3.4127588912800082</v>
      </c>
      <c r="P36">
        <f t="shared" ca="1" si="26"/>
        <v>3.1127587168345663</v>
      </c>
      <c r="Q36">
        <f t="shared" ca="1" si="26"/>
        <v>3.9400528146853935</v>
      </c>
      <c r="R36">
        <f t="shared" ca="1" si="26"/>
        <v>4.6578106655890004</v>
      </c>
      <c r="S36">
        <f t="shared" ca="1" si="26"/>
        <v>5.2433922431780084</v>
      </c>
      <c r="T36">
        <f t="shared" ca="1" si="26"/>
        <v>5.6500193917658184</v>
      </c>
      <c r="U36">
        <f t="shared" ca="1" si="26"/>
        <v>5.8564816460742497</v>
      </c>
      <c r="V36">
        <f t="shared" ca="1" si="26"/>
        <v>5.8649369732501357</v>
      </c>
      <c r="W36">
        <f t="shared" ca="1" si="26"/>
        <v>5.7164141429829805</v>
      </c>
      <c r="X36">
        <f t="shared" ca="1" si="26"/>
        <v>5.4798293136309235</v>
      </c>
      <c r="Y36">
        <f t="shared" ca="1" si="26"/>
        <v>5.1980977450567467</v>
      </c>
      <c r="Z36">
        <f t="shared" ca="1" si="26"/>
        <v>5.7906668012543152</v>
      </c>
      <c r="AA36">
        <f t="shared" ca="1" si="26"/>
        <v>6.3858661969877648</v>
      </c>
      <c r="AB36">
        <f t="shared" ca="1" si="26"/>
        <v>6.9737115216272638</v>
      </c>
      <c r="AC36">
        <f t="shared" ca="1" si="26"/>
        <v>7.5481201970587</v>
      </c>
      <c r="AD36">
        <f t="shared" ca="1" si="26"/>
        <v>8.1054855241363217</v>
      </c>
      <c r="AE36">
        <f t="shared" ca="1" si="26"/>
        <v>8.6435981790346883</v>
      </c>
      <c r="AF36">
        <f t="shared" ca="1" si="26"/>
        <v>9.1610640098563341</v>
      </c>
      <c r="AG36">
        <f t="shared" ca="1" si="26"/>
        <v>9.6570111214119869</v>
      </c>
      <c r="AH36">
        <f t="shared" ca="1" si="26"/>
        <v>10.130938134783586</v>
      </c>
      <c r="AI36">
        <f t="shared" ca="1" si="26"/>
        <v>10.567162956981024</v>
      </c>
    </row>
    <row r="37" spans="1:35">
      <c r="A37" t="s">
        <v>34</v>
      </c>
      <c r="B37" s="1">
        <f ca="1">SUMPRODUCT(lz,ta2_)</f>
        <v>2.5121523278240616</v>
      </c>
      <c r="C37" s="29">
        <f ca="1">B12/(phi_t2/SUM(B$36:B$38))</f>
        <v>0.89371245541398259</v>
      </c>
      <c r="E37" s="38">
        <f ca="1">C37/AVERAGE(C$36:C$38)</f>
        <v>0.54972377498990743</v>
      </c>
      <c r="G37" s="1">
        <f ca="1">SUM(dqa31_)</f>
        <v>858.29504334721344</v>
      </c>
      <c r="H37" s="1">
        <f ca="1">SUM(dqa32_)</f>
        <v>856.07790881153221</v>
      </c>
      <c r="I37" s="1">
        <f ca="1">SUM(dqa33_)</f>
        <v>381.44839912031404</v>
      </c>
      <c r="J37" s="8" t="s">
        <v>64</v>
      </c>
      <c r="K37">
        <f t="shared" ref="K37:AI37" ca="1" si="27">flt3_*qa3_+lz*wa*flt3_^2/za*(sa-oa/za)</f>
        <v>1.3783033289708289E-8</v>
      </c>
      <c r="L37">
        <f t="shared" ca="1" si="27"/>
        <v>1.3208361072844719E-6</v>
      </c>
      <c r="M37">
        <f t="shared" ca="1" si="27"/>
        <v>5.5859573116678262E-5</v>
      </c>
      <c r="N37">
        <f t="shared" ca="1" si="27"/>
        <v>1.6383335887282878E-3</v>
      </c>
      <c r="O37">
        <f t="shared" ca="1" si="27"/>
        <v>3.6766796709165425E-2</v>
      </c>
      <c r="P37">
        <f t="shared" ca="1" si="27"/>
        <v>6.8742817419537149E-3</v>
      </c>
      <c r="Q37">
        <f t="shared" ca="1" si="27"/>
        <v>2.5341611505639872</v>
      </c>
      <c r="R37">
        <f t="shared" ca="1" si="27"/>
        <v>11.573218551860215</v>
      </c>
      <c r="S37">
        <f t="shared" ca="1" si="27"/>
        <v>17.409591172868087</v>
      </c>
      <c r="T37">
        <f t="shared" ca="1" si="27"/>
        <v>19.642916602146649</v>
      </c>
      <c r="U37">
        <f t="shared" ca="1" si="27"/>
        <v>19.971395031227971</v>
      </c>
      <c r="V37">
        <f t="shared" ca="1" si="27"/>
        <v>19.291050619755687</v>
      </c>
      <c r="W37">
        <f t="shared" ca="1" si="27"/>
        <v>18.059072701123853</v>
      </c>
      <c r="X37">
        <f t="shared" ca="1" si="27"/>
        <v>16.609459942251771</v>
      </c>
      <c r="Y37">
        <f t="shared" ca="1" si="27"/>
        <v>15.11240724234198</v>
      </c>
      <c r="Z37">
        <f t="shared" ca="1" si="27"/>
        <v>16.835180713653479</v>
      </c>
      <c r="AA37">
        <f t="shared" ca="1" si="27"/>
        <v>18.565601359797281</v>
      </c>
      <c r="AB37">
        <f t="shared" ca="1" si="27"/>
        <v>20.274641546643906</v>
      </c>
      <c r="AC37">
        <f t="shared" ca="1" si="27"/>
        <v>21.944617420973941</v>
      </c>
      <c r="AD37">
        <f t="shared" ca="1" si="27"/>
        <v>23.565043241855886</v>
      </c>
      <c r="AE37">
        <f t="shared" ca="1" si="27"/>
        <v>25.129495851623638</v>
      </c>
      <c r="AF37">
        <f t="shared" ca="1" si="27"/>
        <v>26.633922038455225</v>
      </c>
      <c r="AG37">
        <f t="shared" ca="1" si="27"/>
        <v>28.075786945212649</v>
      </c>
      <c r="AH37">
        <f t="shared" ca="1" si="27"/>
        <v>29.453632915121439</v>
      </c>
      <c r="AI37">
        <f t="shared" ca="1" si="27"/>
        <v>30.721867466604269</v>
      </c>
    </row>
    <row r="38" spans="1:35">
      <c r="A38" t="s">
        <v>35</v>
      </c>
      <c r="B38" s="1">
        <f ca="1">SUMPRODUCT(lz,ta3_)</f>
        <v>1.2046027692545276</v>
      </c>
      <c r="C38" s="29">
        <f ca="1">B13/(phi_t3/SUM(B$36:B$38))</f>
        <v>0.60933320737237417</v>
      </c>
      <c r="E38" s="38">
        <f ca="1">C38/AVERAGE(C$36:C$38)</f>
        <v>0.37480170378546218</v>
      </c>
      <c r="G38" t="s">
        <v>69</v>
      </c>
      <c r="J38" s="8" t="s">
        <v>60</v>
      </c>
      <c r="K38">
        <f t="shared" ref="K38:AI38" ca="1" si="28">flt1_*qa1_+lz*wa*flt2_*flt1_/za*(sa-oa/za)</f>
        <v>-3.8613727159680537E-9</v>
      </c>
      <c r="L38">
        <f t="shared" ca="1" si="28"/>
        <v>-7.2713588361789765E-7</v>
      </c>
      <c r="M38">
        <f t="shared" ca="1" si="28"/>
        <v>-3.2707243909527758E-5</v>
      </c>
      <c r="N38">
        <f t="shared" ca="1" si="28"/>
        <v>-2.4016856214145624E-4</v>
      </c>
      <c r="O38">
        <f t="shared" ca="1" si="28"/>
        <v>-8.6802228120221102E-4</v>
      </c>
      <c r="P38">
        <f t="shared" ca="1" si="28"/>
        <v>-2.1175369258579755E-3</v>
      </c>
      <c r="Q38">
        <f t="shared" ca="1" si="28"/>
        <v>-5.7459536391801271E-3</v>
      </c>
      <c r="R38">
        <f t="shared" ca="1" si="28"/>
        <v>-1.3170411121272039E-2</v>
      </c>
      <c r="S38">
        <f t="shared" ca="1" si="28"/>
        <v>-1.7889773226928536E-2</v>
      </c>
      <c r="T38">
        <f t="shared" ca="1" si="28"/>
        <v>6.3370478430575292E-2</v>
      </c>
      <c r="U38">
        <f t="shared" ca="1" si="28"/>
        <v>0.76728525029665429</v>
      </c>
      <c r="V38">
        <f t="shared" ca="1" si="28"/>
        <v>4.142383863649072</v>
      </c>
      <c r="W38">
        <f t="shared" ca="1" si="28"/>
        <v>13.340662527889503</v>
      </c>
      <c r="X38">
        <f t="shared" ca="1" si="28"/>
        <v>27.20814309412868</v>
      </c>
      <c r="Y38">
        <f t="shared" ca="1" si="28"/>
        <v>40.490344176597567</v>
      </c>
      <c r="Z38">
        <f t="shared" ca="1" si="28"/>
        <v>50.715501916415271</v>
      </c>
      <c r="AA38">
        <f t="shared" ca="1" si="28"/>
        <v>58.569712754695558</v>
      </c>
      <c r="AB38">
        <f t="shared" ca="1" si="28"/>
        <v>65.073584501369723</v>
      </c>
      <c r="AC38">
        <f t="shared" ca="1" si="28"/>
        <v>70.859473092290486</v>
      </c>
      <c r="AD38">
        <f t="shared" ca="1" si="28"/>
        <v>76.232053944587307</v>
      </c>
      <c r="AE38">
        <f t="shared" ca="1" si="28"/>
        <v>81.321969859705817</v>
      </c>
      <c r="AF38">
        <f t="shared" ca="1" si="28"/>
        <v>86.18042563534334</v>
      </c>
      <c r="AG38">
        <f t="shared" ca="1" si="28"/>
        <v>90.825324355532089</v>
      </c>
      <c r="AH38">
        <f t="shared" ca="1" si="28"/>
        <v>95.261874659211699</v>
      </c>
      <c r="AI38">
        <f t="shared" ca="1" si="28"/>
        <v>99.443927914514632</v>
      </c>
    </row>
    <row r="39" spans="1:35">
      <c r="A39" s="1" t="s">
        <v>36</v>
      </c>
      <c r="B39" s="1">
        <f ca="1">SUMPRODUCT(lz,qa1_)</f>
        <v>17.147908016908019</v>
      </c>
      <c r="C39" s="23">
        <f ca="1">B4/(phi_q1/SUM(B$39:B$41))</f>
        <v>2.6629378551977325</v>
      </c>
      <c r="D39" s="21"/>
      <c r="E39" s="39">
        <f ca="1">C39/AVERAGE(C$39:C$41)</f>
        <v>2.152105521206511</v>
      </c>
      <c r="G39" s="1">
        <f ca="1">re*phi_q1+f1_*phi_q1*$H31+f1_*re*G35</f>
        <v>1230963.0657346896</v>
      </c>
      <c r="H39" s="1">
        <f ca="1">re*phi_q1+f1_*phi_q1*$H32+f1_*re*H35</f>
        <v>1190837.6842086306</v>
      </c>
      <c r="I39" s="1">
        <f ca="1">re*phi_q1+f1_*phi_q1*$H33+f1_*re*I35</f>
        <v>1197219.2503494816</v>
      </c>
      <c r="J39" s="8" t="s">
        <v>66</v>
      </c>
      <c r="K39">
        <f t="shared" ref="K39:AI39" ca="1" si="29">flt1_*qa1_+lz*wa*flt3_*flt1_/za*(sa-oa/za)</f>
        <v>-3.3687333883491868E-10</v>
      </c>
      <c r="L39">
        <f t="shared" ca="1" si="29"/>
        <v>-1.7713224772064341E-8</v>
      </c>
      <c r="M39">
        <f t="shared" ca="1" si="29"/>
        <v>-4.1815218745472849E-7</v>
      </c>
      <c r="N39">
        <f t="shared" ca="1" si="29"/>
        <v>-6.8067808448736418E-6</v>
      </c>
      <c r="O39">
        <f t="shared" ca="1" si="29"/>
        <v>-8.7576570025461853E-5</v>
      </c>
      <c r="P39">
        <f t="shared" ca="1" si="29"/>
        <v>-7.1548321834180725E-5</v>
      </c>
      <c r="Q39">
        <f t="shared" ca="1" si="29"/>
        <v>-4.5533931979137125E-3</v>
      </c>
      <c r="R39">
        <f t="shared" ca="1" si="29"/>
        <v>-2.2160229852382335E-2</v>
      </c>
      <c r="S39">
        <f t="shared" ca="1" si="29"/>
        <v>-4.9006222744169131E-2</v>
      </c>
      <c r="T39">
        <f t="shared" ca="1" si="29"/>
        <v>-1.0656143733752899E-2</v>
      </c>
      <c r="U39">
        <f t="shared" ca="1" si="29"/>
        <v>0.61980326545791253</v>
      </c>
      <c r="V39">
        <f t="shared" ca="1" si="29"/>
        <v>3.9009929106000598</v>
      </c>
      <c r="W39">
        <f t="shared" ca="1" si="29"/>
        <v>13.035407015331989</v>
      </c>
      <c r="X39">
        <f t="shared" ca="1" si="29"/>
        <v>26.910884619939598</v>
      </c>
      <c r="Y39">
        <f t="shared" ca="1" si="29"/>
        <v>40.250570096636856</v>
      </c>
      <c r="Z39">
        <f t="shared" ca="1" si="29"/>
        <v>50.516130648533128</v>
      </c>
      <c r="AA39">
        <f t="shared" ca="1" si="29"/>
        <v>58.412527364607826</v>
      </c>
      <c r="AB39">
        <f t="shared" ca="1" si="29"/>
        <v>64.952963985965894</v>
      </c>
      <c r="AC39">
        <f t="shared" ca="1" si="29"/>
        <v>70.768321153251435</v>
      </c>
      <c r="AD39">
        <f t="shared" ca="1" si="29"/>
        <v>76.163864512601052</v>
      </c>
      <c r="AE39">
        <f t="shared" ca="1" si="29"/>
        <v>81.271344619753606</v>
      </c>
      <c r="AF39">
        <f t="shared" ca="1" si="29"/>
        <v>86.143073626063</v>
      </c>
      <c r="AG39">
        <f t="shared" ca="1" si="29"/>
        <v>90.797912447853406</v>
      </c>
      <c r="AH39">
        <f t="shared" ca="1" si="29"/>
        <v>95.241852026759247</v>
      </c>
      <c r="AI39">
        <f t="shared" ca="1" si="29"/>
        <v>99.395937411261528</v>
      </c>
    </row>
    <row r="40" spans="1:35">
      <c r="A40" s="1" t="s">
        <v>37</v>
      </c>
      <c r="B40" s="1">
        <f ca="1">SUMPRODUCT(lz,qa2_)</f>
        <v>26.348757846555209</v>
      </c>
      <c r="C40" s="23">
        <f ca="1">B5/(phi_q2/SUM(B$39:B$41))</f>
        <v>0.6463304484606498</v>
      </c>
      <c r="D40" s="21"/>
      <c r="E40" s="39">
        <f ca="1">C40/AVERAGE(C$39:C$41)</f>
        <v>0.52234464425860971</v>
      </c>
      <c r="G40" s="1">
        <f ca="1">re*phi_q1+f1_*phi_q1*$H32+f1_*re*G36</f>
        <v>1190837.6842086306</v>
      </c>
      <c r="H40" s="1">
        <f ca="1">re*phi_q2+f2_*phi_q2*$H32+f2_*re*H36</f>
        <v>214333.64087104658</v>
      </c>
      <c r="I40" s="1">
        <f ca="1">re*phi_q3+f3_*phi_q3*$H33+f3_*re*I36</f>
        <v>420806.81466321967</v>
      </c>
      <c r="J40" s="8" t="s">
        <v>65</v>
      </c>
      <c r="K40">
        <f t="shared" ref="K40:AI40" ca="1" si="30">flt1_*qa1_+lz*wa*flt1_*flt2_/za*(sa-oa/za)</f>
        <v>-3.8613727159680529E-9</v>
      </c>
      <c r="L40">
        <f t="shared" ca="1" si="30"/>
        <v>-7.2713588361789776E-7</v>
      </c>
      <c r="M40">
        <f t="shared" ca="1" si="30"/>
        <v>-3.2707243909527758E-5</v>
      </c>
      <c r="N40">
        <f t="shared" ca="1" si="30"/>
        <v>-2.4016856214145624E-4</v>
      </c>
      <c r="O40">
        <f t="shared" ca="1" si="30"/>
        <v>-8.6802228120221102E-4</v>
      </c>
      <c r="P40">
        <f t="shared" ca="1" si="30"/>
        <v>-2.1175369258579759E-3</v>
      </c>
      <c r="Q40">
        <f t="shared" ca="1" si="30"/>
        <v>-5.7459536391801262E-3</v>
      </c>
      <c r="R40">
        <f t="shared" ca="1" si="30"/>
        <v>-1.3170411121272039E-2</v>
      </c>
      <c r="S40">
        <f t="shared" ca="1" si="30"/>
        <v>-1.7889773226928536E-2</v>
      </c>
      <c r="T40">
        <f t="shared" ca="1" si="30"/>
        <v>6.3370478430575292E-2</v>
      </c>
      <c r="U40">
        <f t="shared" ca="1" si="30"/>
        <v>0.76728525029665429</v>
      </c>
      <c r="V40">
        <f t="shared" ca="1" si="30"/>
        <v>4.142383863649072</v>
      </c>
      <c r="W40">
        <f t="shared" ca="1" si="30"/>
        <v>13.340662527889503</v>
      </c>
      <c r="X40">
        <f t="shared" ca="1" si="30"/>
        <v>27.20814309412868</v>
      </c>
      <c r="Y40">
        <f t="shared" ca="1" si="30"/>
        <v>40.490344176597567</v>
      </c>
      <c r="Z40">
        <f t="shared" ca="1" si="30"/>
        <v>50.715501916415271</v>
      </c>
      <c r="AA40">
        <f t="shared" ca="1" si="30"/>
        <v>58.569712754695558</v>
      </c>
      <c r="AB40">
        <f t="shared" ca="1" si="30"/>
        <v>65.073584501369723</v>
      </c>
      <c r="AC40">
        <f t="shared" ca="1" si="30"/>
        <v>70.859473092290486</v>
      </c>
      <c r="AD40">
        <f t="shared" ca="1" si="30"/>
        <v>76.232053944587307</v>
      </c>
      <c r="AE40">
        <f t="shared" ca="1" si="30"/>
        <v>81.321969859705817</v>
      </c>
      <c r="AF40">
        <f t="shared" ca="1" si="30"/>
        <v>86.18042563534334</v>
      </c>
      <c r="AG40">
        <f t="shared" ca="1" si="30"/>
        <v>90.825324355532089</v>
      </c>
      <c r="AH40">
        <f t="shared" ca="1" si="30"/>
        <v>95.261874659211699</v>
      </c>
      <c r="AI40">
        <f t="shared" ca="1" si="30"/>
        <v>99.443927914514632</v>
      </c>
    </row>
    <row r="41" spans="1:35">
      <c r="A41" s="1" t="s">
        <v>38</v>
      </c>
      <c r="B41" s="1">
        <f ca="1">SUMPRODUCT(lz,qa3_)</f>
        <v>32.146537053058857</v>
      </c>
      <c r="C41" s="23">
        <f ca="1">B6/(phi_q3/SUM(B$39:B$41))</f>
        <v>0.40282363926573456</v>
      </c>
      <c r="D41" s="21"/>
      <c r="E41" s="39">
        <f ca="1">C41/AVERAGE(C$39:C$41)</f>
        <v>0.32554983453487896</v>
      </c>
      <c r="G41" s="1">
        <f ca="1">re*phi_q1+f1_*phi_q1*$H33+f1_*re*G37</f>
        <v>1197219.2503494816</v>
      </c>
      <c r="H41" s="1">
        <f ca="1">re*phi_q3+f3_*phi_q3*$H33+f3_*re*H37</f>
        <v>420806.81466321967</v>
      </c>
      <c r="I41" s="1">
        <f ca="1">re*phi_q3+f1_*phi_q3*$H33+f3_*re*I37</f>
        <v>210301.27651895891</v>
      </c>
      <c r="J41" s="8" t="s">
        <v>67</v>
      </c>
      <c r="K41">
        <f t="shared" ref="K41:AI41" ca="1" si="31">flt1_*qa1_+lz*wa*flt3_*flt2_/za*(sa-oa/za)</f>
        <v>-1.4258733529384187E-7</v>
      </c>
      <c r="L41">
        <f t="shared" ca="1" si="31"/>
        <v>-3.7348934643849649E-5</v>
      </c>
      <c r="M41">
        <f t="shared" ca="1" si="31"/>
        <v>-2.3387210838259143E-3</v>
      </c>
      <c r="N41">
        <f t="shared" ca="1" si="31"/>
        <v>-2.3719335860656474E-2</v>
      </c>
      <c r="O41">
        <f t="shared" ca="1" si="31"/>
        <v>-0.11456367563967136</v>
      </c>
      <c r="P41">
        <f t="shared" ca="1" si="31"/>
        <v>-3.6729061542139251E-2</v>
      </c>
      <c r="Q41">
        <f t="shared" ca="1" si="31"/>
        <v>-0.63114708797553687</v>
      </c>
      <c r="R41">
        <f t="shared" ca="1" si="31"/>
        <v>-1.1561765619530913</v>
      </c>
      <c r="S41">
        <f t="shared" ca="1" si="31"/>
        <v>-1.1651748568272882</v>
      </c>
      <c r="T41">
        <f t="shared" ca="1" si="31"/>
        <v>-0.88107514674928633</v>
      </c>
      <c r="U41">
        <f t="shared" ca="1" si="31"/>
        <v>0.10887893689128725</v>
      </c>
      <c r="V41">
        <f t="shared" ca="1" si="31"/>
        <v>3.802340733856802</v>
      </c>
      <c r="W41">
        <f t="shared" ca="1" si="31"/>
        <v>13.272960878306707</v>
      </c>
      <c r="X41">
        <f t="shared" ca="1" si="31"/>
        <v>27.293041053200685</v>
      </c>
      <c r="Y41">
        <f t="shared" ca="1" si="31"/>
        <v>40.621092352760051</v>
      </c>
      <c r="Z41">
        <f t="shared" ca="1" si="31"/>
        <v>50.834460606618734</v>
      </c>
      <c r="AA41">
        <f t="shared" ca="1" si="31"/>
        <v>58.666647108081698</v>
      </c>
      <c r="AB41">
        <f t="shared" ca="1" si="31"/>
        <v>65.148910366769499</v>
      </c>
      <c r="AC41">
        <f t="shared" ca="1" si="31"/>
        <v>70.916672880348344</v>
      </c>
      <c r="AD41">
        <f t="shared" ca="1" si="31"/>
        <v>76.274924622941128</v>
      </c>
      <c r="AE41">
        <f t="shared" ca="1" si="31"/>
        <v>81.353820955800643</v>
      </c>
      <c r="AF41">
        <f t="shared" ca="1" si="31"/>
        <v>86.203932268329055</v>
      </c>
      <c r="AG41">
        <f t="shared" ca="1" si="31"/>
        <v>90.842577132159875</v>
      </c>
      <c r="AH41">
        <f t="shared" ca="1" si="31"/>
        <v>95.274477098783407</v>
      </c>
      <c r="AI41">
        <f t="shared" ca="1" si="31"/>
        <v>99.474133755837826</v>
      </c>
    </row>
    <row r="42" spans="1:35">
      <c r="A42" s="1" t="s">
        <v>96</v>
      </c>
      <c r="B42" s="1">
        <f ca="1">SUMPRODUCT(lz/SUM(lz),len,ta1_)</f>
        <v>7.1617707455621158</v>
      </c>
      <c r="J42" s="8" t="s">
        <v>68</v>
      </c>
      <c r="K42">
        <f t="shared" ref="K42:AI42" ca="1" si="32">flt1_*qa1_+lz*wa*flt1_*flt3_/za*(sa-oa/za)</f>
        <v>-3.3687333883491868E-10</v>
      </c>
      <c r="L42">
        <f t="shared" ca="1" si="32"/>
        <v>-1.7713224772064341E-8</v>
      </c>
      <c r="M42">
        <f t="shared" ca="1" si="32"/>
        <v>-4.1815218745472849E-7</v>
      </c>
      <c r="N42">
        <f t="shared" ca="1" si="32"/>
        <v>-6.8067808448736418E-6</v>
      </c>
      <c r="O42">
        <f t="shared" ca="1" si="32"/>
        <v>-8.7576570025461853E-5</v>
      </c>
      <c r="P42">
        <f t="shared" ca="1" si="32"/>
        <v>-7.1548321834180725E-5</v>
      </c>
      <c r="Q42">
        <f t="shared" ca="1" si="32"/>
        <v>-4.5533931979137125E-3</v>
      </c>
      <c r="R42">
        <f t="shared" ca="1" si="32"/>
        <v>-2.2160229852382335E-2</v>
      </c>
      <c r="S42">
        <f t="shared" ca="1" si="32"/>
        <v>-4.9006222744169131E-2</v>
      </c>
      <c r="T42">
        <f t="shared" ca="1" si="32"/>
        <v>-1.0656143733752899E-2</v>
      </c>
      <c r="U42">
        <f t="shared" ca="1" si="32"/>
        <v>0.61980326545791253</v>
      </c>
      <c r="V42">
        <f t="shared" ca="1" si="32"/>
        <v>3.9009929106000598</v>
      </c>
      <c r="W42">
        <f t="shared" ca="1" si="32"/>
        <v>13.035407015331989</v>
      </c>
      <c r="X42">
        <f t="shared" ca="1" si="32"/>
        <v>26.910884619939598</v>
      </c>
      <c r="Y42">
        <f t="shared" ca="1" si="32"/>
        <v>40.250570096636856</v>
      </c>
      <c r="Z42">
        <f t="shared" ca="1" si="32"/>
        <v>50.516130648533128</v>
      </c>
      <c r="AA42">
        <f t="shared" ca="1" si="32"/>
        <v>58.412527364607826</v>
      </c>
      <c r="AB42">
        <f t="shared" ca="1" si="32"/>
        <v>64.952963985965894</v>
      </c>
      <c r="AC42">
        <f t="shared" ca="1" si="32"/>
        <v>70.768321153251435</v>
      </c>
      <c r="AD42">
        <f t="shared" ca="1" si="32"/>
        <v>76.163864512601052</v>
      </c>
      <c r="AE42">
        <f t="shared" ca="1" si="32"/>
        <v>81.271344619753606</v>
      </c>
      <c r="AF42">
        <f t="shared" ca="1" si="32"/>
        <v>86.143073626063</v>
      </c>
      <c r="AG42">
        <f t="shared" ca="1" si="32"/>
        <v>90.797912447853406</v>
      </c>
      <c r="AH42">
        <f t="shared" ca="1" si="32"/>
        <v>95.241852026759247</v>
      </c>
      <c r="AI42">
        <f t="shared" ca="1" si="32"/>
        <v>99.395937411261528</v>
      </c>
    </row>
    <row r="43" spans="1:35">
      <c r="A43" s="1"/>
      <c r="B43" s="1"/>
      <c r="J43" s="8" t="s">
        <v>61</v>
      </c>
      <c r="K43">
        <f t="shared" ref="K43:AI43" ca="1" si="33">flt1_*qa1_+lz*wa*flt2_*flt3_/za*(sa-oa/za)</f>
        <v>-1.425873352938419E-7</v>
      </c>
      <c r="L43">
        <f t="shared" ca="1" si="33"/>
        <v>-3.7348934643849649E-5</v>
      </c>
      <c r="M43">
        <f t="shared" ca="1" si="33"/>
        <v>-2.3387210838259139E-3</v>
      </c>
      <c r="N43">
        <f t="shared" ca="1" si="33"/>
        <v>-2.3719335860656474E-2</v>
      </c>
      <c r="O43">
        <f t="shared" ca="1" si="33"/>
        <v>-0.11456367563967136</v>
      </c>
      <c r="P43">
        <f t="shared" ca="1" si="33"/>
        <v>-3.6729061542139237E-2</v>
      </c>
      <c r="Q43">
        <f t="shared" ca="1" si="33"/>
        <v>-0.63114708797553687</v>
      </c>
      <c r="R43">
        <f t="shared" ca="1" si="33"/>
        <v>-1.1561765619530913</v>
      </c>
      <c r="S43">
        <f t="shared" ca="1" si="33"/>
        <v>-1.1651748568272882</v>
      </c>
      <c r="T43">
        <f t="shared" ca="1" si="33"/>
        <v>-0.88107514674928633</v>
      </c>
      <c r="U43">
        <f t="shared" ca="1" si="33"/>
        <v>0.10887893689128703</v>
      </c>
      <c r="V43">
        <f t="shared" ca="1" si="33"/>
        <v>3.802340733856802</v>
      </c>
      <c r="W43">
        <f t="shared" ca="1" si="33"/>
        <v>13.272960878306707</v>
      </c>
      <c r="X43">
        <f t="shared" ca="1" si="33"/>
        <v>27.293041053200685</v>
      </c>
      <c r="Y43">
        <f t="shared" ca="1" si="33"/>
        <v>40.621092352760051</v>
      </c>
      <c r="Z43">
        <f t="shared" ca="1" si="33"/>
        <v>50.834460606618734</v>
      </c>
      <c r="AA43">
        <f t="shared" ca="1" si="33"/>
        <v>58.666647108081698</v>
      </c>
      <c r="AB43">
        <f t="shared" ca="1" si="33"/>
        <v>65.148910366769499</v>
      </c>
      <c r="AC43">
        <f t="shared" ca="1" si="33"/>
        <v>70.916672880348344</v>
      </c>
      <c r="AD43">
        <f t="shared" ca="1" si="33"/>
        <v>76.274924622941128</v>
      </c>
      <c r="AE43">
        <f t="shared" ca="1" si="33"/>
        <v>81.353820955800643</v>
      </c>
      <c r="AF43">
        <f t="shared" ca="1" si="33"/>
        <v>86.203932268329055</v>
      </c>
      <c r="AG43">
        <f t="shared" ca="1" si="33"/>
        <v>90.842577132159875</v>
      </c>
      <c r="AH43">
        <f t="shared" ca="1" si="33"/>
        <v>95.274477098783407</v>
      </c>
      <c r="AI43">
        <f t="shared" ca="1" si="33"/>
        <v>99.474133755837826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0.25130389740851267</v>
      </c>
      <c r="G46" s="32" t="s">
        <v>94</v>
      </c>
      <c r="H46" s="32"/>
      <c r="I46" s="32"/>
      <c r="J46" s="8" t="s">
        <v>75</v>
      </c>
      <c r="K46">
        <f t="shared" ref="K46:AI46" ca="1" si="34">lz*qa1_</f>
        <v>1.139121724052749E-6</v>
      </c>
      <c r="L46">
        <f t="shared" ca="1" si="34"/>
        <v>1.6553653765237468E-5</v>
      </c>
      <c r="M46">
        <f t="shared" ca="1" si="34"/>
        <v>1.0897902731438066E-4</v>
      </c>
      <c r="N46">
        <f t="shared" ca="1" si="34"/>
        <v>4.998879814702335E-4</v>
      </c>
      <c r="O46">
        <f t="shared" ca="1" si="34"/>
        <v>1.8754903358623222E-3</v>
      </c>
      <c r="P46">
        <f t="shared" ca="1" si="34"/>
        <v>6.262095751815841E-3</v>
      </c>
      <c r="Q46">
        <f t="shared" ca="1" si="34"/>
        <v>1.9185281190327398E-2</v>
      </c>
      <c r="R46">
        <f t="shared" ca="1" si="34"/>
        <v>5.427228794366952E-2</v>
      </c>
      <c r="S46">
        <f t="shared" ca="1" si="34"/>
        <v>0.14357715663991671</v>
      </c>
      <c r="T46">
        <f t="shared" ca="1" si="34"/>
        <v>0.35425775035217438</v>
      </c>
      <c r="U46">
        <f t="shared" ca="1" si="34"/>
        <v>0.78725607986265511</v>
      </c>
      <c r="V46">
        <f t="shared" ca="1" si="34"/>
        <v>1.4682987724354666</v>
      </c>
      <c r="W46">
        <f t="shared" ca="1" si="34"/>
        <v>2.1315506318925221</v>
      </c>
      <c r="X46">
        <f t="shared" ca="1" si="34"/>
        <v>2.3865235066220385</v>
      </c>
      <c r="Y46">
        <f t="shared" ca="1" si="34"/>
        <v>2.2116831629338991</v>
      </c>
      <c r="Z46">
        <f t="shared" ca="1" si="34"/>
        <v>1.842268335926089</v>
      </c>
      <c r="AA46">
        <f t="shared" ca="1" si="34"/>
        <v>1.4535482510632343</v>
      </c>
      <c r="AB46">
        <f t="shared" ca="1" si="34"/>
        <v>1.1157588495509336</v>
      </c>
      <c r="AC46">
        <f t="shared" ca="1" si="34"/>
        <v>0.84327089619166706</v>
      </c>
      <c r="AD46">
        <f t="shared" ca="1" si="34"/>
        <v>0.6308681286078448</v>
      </c>
      <c r="AE46">
        <f t="shared" ca="1" si="34"/>
        <v>0.4683779753112296</v>
      </c>
      <c r="AF46">
        <f t="shared" ca="1" si="34"/>
        <v>0.34557818890670478</v>
      </c>
      <c r="AG46">
        <f t="shared" ca="1" si="34"/>
        <v>0.25361369449766974</v>
      </c>
      <c r="AH46">
        <f t="shared" ca="1" si="34"/>
        <v>0.18524861047530963</v>
      </c>
      <c r="AI46">
        <f t="shared" ca="1" si="34"/>
        <v>0.44400631063271551</v>
      </c>
    </row>
    <row r="47" spans="1:35" ht="19" thickTop="1">
      <c r="A47" s="1" t="s">
        <v>41</v>
      </c>
      <c r="B47" s="11">
        <f ca="1">MAX(0,Ro*(reck-1/spr)/(reck-1))</f>
        <v>7405.8822113314491</v>
      </c>
      <c r="F47" t="s">
        <v>84</v>
      </c>
      <c r="G47" s="31">
        <f ca="1">G39/G53</f>
        <v>1</v>
      </c>
      <c r="H47" s="31">
        <f ca="1">H53/H39</f>
        <v>0.43133540984968943</v>
      </c>
      <c r="I47" s="31">
        <f ca="1">I53/I39</f>
        <v>0.42498125460127895</v>
      </c>
      <c r="J47" s="8" t="s">
        <v>76</v>
      </c>
      <c r="K47">
        <f t="shared" ref="K47:AI47" ca="1" si="35">lz*qa2_</f>
        <v>4.5529664131429919E-4</v>
      </c>
      <c r="L47">
        <f t="shared" ca="1" si="35"/>
        <v>3.3281558558554074E-2</v>
      </c>
      <c r="M47">
        <f t="shared" ca="1" si="35"/>
        <v>0.58567660192437543</v>
      </c>
      <c r="N47">
        <f t="shared" ca="1" si="35"/>
        <v>1.6826975476039039</v>
      </c>
      <c r="O47">
        <f t="shared" ca="1" si="35"/>
        <v>2.3771804650329491</v>
      </c>
      <c r="P47">
        <f t="shared" ca="1" si="35"/>
        <v>2.2815390416542463</v>
      </c>
      <c r="Q47">
        <f t="shared" ca="1" si="35"/>
        <v>2.5080793135102537</v>
      </c>
      <c r="R47">
        <f t="shared" ca="1" si="35"/>
        <v>2.5572186333532647</v>
      </c>
      <c r="S47">
        <f t="shared" ca="1" si="35"/>
        <v>2.4673673325033287</v>
      </c>
      <c r="T47">
        <f t="shared" ca="1" si="35"/>
        <v>2.2856944525798157</v>
      </c>
      <c r="U47">
        <f t="shared" ca="1" si="35"/>
        <v>2.0376717068491144</v>
      </c>
      <c r="V47">
        <f t="shared" ca="1" si="35"/>
        <v>1.7374989859748629</v>
      </c>
      <c r="W47">
        <f t="shared" ca="1" si="35"/>
        <v>1.406022090378777</v>
      </c>
      <c r="X47">
        <f t="shared" ca="1" si="35"/>
        <v>1.0806955289333522</v>
      </c>
      <c r="Y47">
        <f t="shared" ca="1" si="35"/>
        <v>0.79840258346975801</v>
      </c>
      <c r="Z47">
        <f t="shared" ca="1" si="35"/>
        <v>0.62591082322058289</v>
      </c>
      <c r="AA47">
        <f t="shared" ca="1" si="35"/>
        <v>0.48181045123876165</v>
      </c>
      <c r="AB47">
        <f t="shared" ca="1" si="35"/>
        <v>0.36624472869756025</v>
      </c>
      <c r="AC47">
        <f t="shared" ca="1" si="35"/>
        <v>0.27574299218873499</v>
      </c>
      <c r="AD47">
        <f t="shared" ca="1" si="35"/>
        <v>0.20598153501070698</v>
      </c>
      <c r="AE47">
        <f t="shared" ca="1" si="35"/>
        <v>0.15283963090432998</v>
      </c>
      <c r="AF47">
        <f t="shared" ca="1" si="35"/>
        <v>0.11274331599732132</v>
      </c>
      <c r="AG47">
        <f t="shared" ca="1" si="35"/>
        <v>8.2733739220556449E-2</v>
      </c>
      <c r="AH47">
        <f t="shared" ca="1" si="35"/>
        <v>6.0430191934696967E-2</v>
      </c>
      <c r="AI47">
        <f t="shared" ca="1" si="35"/>
        <v>0.14483929917408805</v>
      </c>
    </row>
    <row r="48" spans="1:35">
      <c r="A48" s="1" t="s">
        <v>43</v>
      </c>
      <c r="B48" s="1">
        <f ca="1">f1_*re*phi_q1</f>
        <v>22647.598467268497</v>
      </c>
      <c r="C48" s="20">
        <f ca="1">ye_1/SUM(ye_1,ye_2,ye_3)</f>
        <v>0.57289495938410051</v>
      </c>
      <c r="F48" t="s">
        <v>85</v>
      </c>
      <c r="G48" s="31">
        <f ca="1">G40/G54</f>
        <v>2.3183814200380097</v>
      </c>
      <c r="H48" s="31">
        <f t="shared" ref="H48:I49" ca="1" si="36">H40/H54</f>
        <v>1</v>
      </c>
      <c r="I48" s="31">
        <f ca="1">I54/I40</f>
        <v>0.50452577803929255</v>
      </c>
      <c r="J48" s="8" t="s">
        <v>77</v>
      </c>
      <c r="K48">
        <f t="shared" ref="K48:AI48" ca="1" si="37">lz*qa3_</f>
        <v>4.1853839749485451E-5</v>
      </c>
      <c r="L48">
        <f t="shared" ca="1" si="37"/>
        <v>8.4927996961908368E-4</v>
      </c>
      <c r="M48">
        <f t="shared" ca="1" si="37"/>
        <v>7.7885131952095694E-3</v>
      </c>
      <c r="N48">
        <f t="shared" ca="1" si="37"/>
        <v>4.9320808009382724E-2</v>
      </c>
      <c r="O48">
        <f t="shared" ca="1" si="37"/>
        <v>0.24673868521447737</v>
      </c>
      <c r="P48">
        <f t="shared" ca="1" si="37"/>
        <v>0.1072182809124408</v>
      </c>
      <c r="Q48">
        <f t="shared" ca="1" si="37"/>
        <v>2.0114412805281643</v>
      </c>
      <c r="R48">
        <f t="shared" ca="1" si="37"/>
        <v>4.0309185435365915</v>
      </c>
      <c r="S48">
        <f t="shared" ca="1" si="37"/>
        <v>4.4959546632935332</v>
      </c>
      <c r="T48">
        <f t="shared" ca="1" si="37"/>
        <v>4.2618306798354988</v>
      </c>
      <c r="U48">
        <f t="shared" ca="1" si="37"/>
        <v>3.762877005145072</v>
      </c>
      <c r="V48">
        <f t="shared" ca="1" si="37"/>
        <v>3.1511626875760896</v>
      </c>
      <c r="W48">
        <f t="shared" ca="1" si="37"/>
        <v>2.499067719228397</v>
      </c>
      <c r="X48">
        <f t="shared" ca="1" si="37"/>
        <v>1.8814712865544589</v>
      </c>
      <c r="Y48">
        <f t="shared" ca="1" si="37"/>
        <v>1.3613397847612756</v>
      </c>
      <c r="Z48">
        <f t="shared" ca="1" si="37"/>
        <v>1.067227640546752</v>
      </c>
      <c r="AA48">
        <f t="shared" ca="1" si="37"/>
        <v>0.82152506713419637</v>
      </c>
      <c r="AB48">
        <f t="shared" ca="1" si="37"/>
        <v>0.62447633619659215</v>
      </c>
      <c r="AC48">
        <f t="shared" ca="1" si="37"/>
        <v>0.47016369110967587</v>
      </c>
      <c r="AD48">
        <f t="shared" ca="1" si="37"/>
        <v>0.35121486871653429</v>
      </c>
      <c r="AE48">
        <f t="shared" ca="1" si="37"/>
        <v>0.26060370362788843</v>
      </c>
      <c r="AF48">
        <f t="shared" ca="1" si="37"/>
        <v>0.19223630372794182</v>
      </c>
      <c r="AG48">
        <f t="shared" ca="1" si="37"/>
        <v>0.14106759306005423</v>
      </c>
      <c r="AH48">
        <f t="shared" ca="1" si="37"/>
        <v>0.10303827440530694</v>
      </c>
      <c r="AI48">
        <f t="shared" ca="1" si="37"/>
        <v>0.2469625029339545</v>
      </c>
    </row>
    <row r="49" spans="1:47">
      <c r="A49" s="1" t="s">
        <v>44</v>
      </c>
      <c r="B49" s="1">
        <f ca="1">f2_*re*phi_q2</f>
        <v>9217.1842991491831</v>
      </c>
      <c r="C49" s="20">
        <f ca="1">ye_2/SUM(ye_1,ye_2,ye_3)</f>
        <v>0.23315842659116667</v>
      </c>
      <c r="F49" t="s">
        <v>86</v>
      </c>
      <c r="G49" s="31">
        <f ca="1">G41/G55</f>
        <v>2.3530449618023943</v>
      </c>
      <c r="H49" s="31">
        <f t="shared" ca="1" si="36"/>
        <v>1.9820592792824947</v>
      </c>
      <c r="I49" s="31">
        <f t="shared" ca="1" si="36"/>
        <v>0.99999999999999989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7667.0687471933734</v>
      </c>
      <c r="C50" s="20">
        <f ca="1">ye_3/SUM(ye_1,ye_2,ye_3)</f>
        <v>0.19394661402473284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39531.851513611051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1109.4877492494857</v>
      </c>
      <c r="H52" s="57">
        <f ca="1">H40^0.5</f>
        <v>462.96181362078511</v>
      </c>
      <c r="I52" s="11">
        <f ca="1">I41^0.5</f>
        <v>458.58617131239242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3.0580554511947677</v>
      </c>
      <c r="C53">
        <f ca="1">AVERAGE(B53:B55)/B53</f>
        <v>0.58184022720620276</v>
      </c>
      <c r="G53">
        <f ca="1">G$52*$J53</f>
        <v>1230963.0657346896</v>
      </c>
      <c r="H53">
        <f t="shared" ref="H53:I53" ca="1" si="38">H$52*$J53</f>
        <v>513650.46058258472</v>
      </c>
      <c r="I53">
        <f t="shared" ca="1" si="38"/>
        <v>508795.73904632533</v>
      </c>
      <c r="J53">
        <f t="array" aca="1" ref="J53:J55" ca="1">TRANSPOSE(G52:I52)</f>
        <v>1109.4877492494857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1.2445761404423004</v>
      </c>
      <c r="C54">
        <f ca="1">AVERAGE(B53:B55)/B54</f>
        <v>1.429643089493905</v>
      </c>
      <c r="G54">
        <f t="shared" ref="G54:I55" ca="1" si="39">G$52*$J54</f>
        <v>513650.46058258472</v>
      </c>
      <c r="H54">
        <f t="shared" ca="1" si="39"/>
        <v>214333.64087104658</v>
      </c>
      <c r="I54">
        <f ca="1">I$52*$J54</f>
        <v>212307.88557219726</v>
      </c>
      <c r="J54">
        <f ca="1"/>
        <v>462.96181362078511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1.0352674439599232</v>
      </c>
      <c r="C55">
        <f ca="1">AVERAGE(B53:B55)/B55</f>
        <v>1.7186860157858976</v>
      </c>
      <c r="G55">
        <f t="shared" ca="1" si="39"/>
        <v>508795.73904632533</v>
      </c>
      <c r="H55">
        <f t="shared" ca="1" si="39"/>
        <v>212307.88557219726</v>
      </c>
      <c r="I55">
        <f t="shared" ca="1" si="39"/>
        <v>210301.27651895894</v>
      </c>
      <c r="J55">
        <f ca="1"/>
        <v>458.58617131239242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5.5404262468917491E-2</v>
      </c>
      <c r="C56">
        <f ca="1">AVERAGE(B56:B58)/B56</f>
        <v>1.2806406936508454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0.1186608061971761</v>
      </c>
      <c r="C57">
        <f ca="1">AVERAGE(B56:B58)/B57</f>
        <v>0.59794767449588204</v>
      </c>
      <c r="G57">
        <f t="array" aca="1" ref="G57:I59" ca="1">MMULT($G$52:$I$52,TRANSPOSE($G$52:$I$52))</f>
        <v>1655597.983124695</v>
      </c>
      <c r="H57">
        <f ca="1"/>
        <v>1655597.983124695</v>
      </c>
      <c r="I57">
        <f ca="1"/>
        <v>1655597.983124695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3.879379069213041E-2</v>
      </c>
      <c r="C58">
        <f ca="1">AVERAGE(B56:B58)/B58</f>
        <v>1.8289770567278256</v>
      </c>
      <c r="G58">
        <f ca="1"/>
        <v>1655597.983124695</v>
      </c>
      <c r="H58">
        <f ca="1"/>
        <v>1655597.983124695</v>
      </c>
      <c r="I58">
        <f ca="1"/>
        <v>1655597.983124695</v>
      </c>
      <c r="AL58" s="31"/>
      <c r="AM58" s="31"/>
      <c r="AN58" s="31"/>
      <c r="AO58" s="31"/>
      <c r="AP58" s="31"/>
    </row>
    <row r="59" spans="1:47">
      <c r="G59">
        <f ca="1"/>
        <v>1655597.983124695</v>
      </c>
      <c r="H59">
        <f ca="1"/>
        <v>1655597.983124695</v>
      </c>
      <c r="I59">
        <f ca="1"/>
        <v>1655597.983124695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55.195310160664562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10.488519169288425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26.686421344484245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0.60367371601208464</v>
      </c>
      <c r="E4" s="47">
        <v>24977</v>
      </c>
      <c r="F4" s="47">
        <f ca="1">ye_1</f>
        <v>25162.735380090944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0.22513595166163139</v>
      </c>
      <c r="E5" s="47">
        <v>9315</v>
      </c>
      <c r="F5" s="47">
        <f ca="1">ye_2</f>
        <v>9384.268729853351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</v>
      </c>
      <c r="E6" s="47">
        <v>7083</v>
      </c>
      <c r="F6" s="47">
        <f ca="1">ye_3</f>
        <v>7135.6710052121625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0.27290683177643071</v>
      </c>
      <c r="J7" t="s">
        <v>7</v>
      </c>
      <c r="K7" s="1">
        <f>1</f>
        <v>1</v>
      </c>
      <c r="L7" s="1">
        <f ca="1">K7*EXP(-K8)</f>
        <v>0.86048834778344374</v>
      </c>
      <c r="M7" s="1">
        <f t="shared" ref="M7:AH7" ca="1" si="3">L7*EXP(-L8)</f>
        <v>0.73820037003917072</v>
      </c>
      <c r="N7" s="1">
        <f t="shared" ca="1" si="3"/>
        <v>0.6212308179500553</v>
      </c>
      <c r="O7" s="1">
        <f t="shared" ca="1" si="3"/>
        <v>0.51569373324684498</v>
      </c>
      <c r="P7" s="1">
        <f t="shared" ca="1" si="3"/>
        <v>0.42854753836203607</v>
      </c>
      <c r="Q7" s="1">
        <f t="shared" ca="1" si="3"/>
        <v>0.3568360366457663</v>
      </c>
      <c r="R7" s="1">
        <f t="shared" ca="1" si="3"/>
        <v>0.29379347071597772</v>
      </c>
      <c r="S7" s="1">
        <f t="shared" ca="1" si="3"/>
        <v>0.23937108112944319</v>
      </c>
      <c r="T7" s="1">
        <f t="shared" ca="1" si="3"/>
        <v>0.19450942238328336</v>
      </c>
      <c r="U7" s="1">
        <f t="shared" ca="1" si="3"/>
        <v>0.15737991906010176</v>
      </c>
      <c r="V7" s="1">
        <f t="shared" ca="1" si="3"/>
        <v>0.12566816845510559</v>
      </c>
      <c r="W7" s="1">
        <f t="shared" ca="1" si="3"/>
        <v>9.76606027122459E-2</v>
      </c>
      <c r="X7" s="1">
        <f t="shared" ca="1" si="3"/>
        <v>7.3180974134646318E-2</v>
      </c>
      <c r="Y7" s="1">
        <f t="shared" ca="1" si="3"/>
        <v>5.3161624392277188E-2</v>
      </c>
      <c r="Z7" s="1">
        <f t="shared" ca="1" si="3"/>
        <v>3.7945897153053312E-2</v>
      </c>
      <c r="AA7" s="1">
        <f t="shared" ca="1" si="3"/>
        <v>2.6820269727033851E-2</v>
      </c>
      <c r="AB7" s="1">
        <f t="shared" ca="1" si="3"/>
        <v>1.887774164671259E-2</v>
      </c>
      <c r="AC7" s="1">
        <f t="shared" ca="1" si="3"/>
        <v>1.3264979264063415E-2</v>
      </c>
      <c r="AD7" s="1">
        <f t="shared" ca="1" si="3"/>
        <v>9.3148308109582776E-3</v>
      </c>
      <c r="AE7" s="1">
        <f t="shared" ca="1" si="3"/>
        <v>6.5392944609813505E-3</v>
      </c>
      <c r="AF7" s="1">
        <f t="shared" ca="1" si="3"/>
        <v>4.5903238331284719E-3</v>
      </c>
      <c r="AG7" s="1">
        <f t="shared" ca="1" si="3"/>
        <v>3.2221015836454512E-3</v>
      </c>
      <c r="AH7" s="1">
        <f t="shared" ca="1" si="3"/>
        <v>2.2616694229088434E-3</v>
      </c>
      <c r="AI7" s="1">
        <f ca="1">AH7*EXP(-AH8)/(1-EXP(-AI8))</f>
        <v>5.325795204917755E-3</v>
      </c>
    </row>
    <row r="8" spans="1:35">
      <c r="A8" s="5"/>
      <c r="B8" s="26"/>
      <c r="C8" s="26"/>
      <c r="E8" t="s">
        <v>111</v>
      </c>
      <c r="F8">
        <f ca="1">SUMXMY2(E4:E6,F4:F6)</f>
        <v>42070.023143083643</v>
      </c>
      <c r="J8" t="s">
        <v>11</v>
      </c>
      <c r="K8" s="1">
        <f ca="1">M+f1_*flt1_ +f2_*flt2_ +f3_*flt3_</f>
        <v>0.1502552046384448</v>
      </c>
      <c r="L8" s="1">
        <f t="shared" ref="L8:AI8" ca="1" si="4">M+f1_*flt1_ +f2_*flt2_ +f3_*flt3_</f>
        <v>0.15328478247567542</v>
      </c>
      <c r="M8" s="1">
        <f t="shared" ca="1" si="4"/>
        <v>0.1725125914730149</v>
      </c>
      <c r="N8" s="1">
        <f t="shared" ca="1" si="4"/>
        <v>0.18618965134745832</v>
      </c>
      <c r="O8" s="1">
        <f t="shared" ca="1" si="4"/>
        <v>0.18511137582827064</v>
      </c>
      <c r="P8" s="1">
        <f t="shared" ca="1" si="4"/>
        <v>0.18312527804580103</v>
      </c>
      <c r="Q8" s="1">
        <f t="shared" ca="1" si="4"/>
        <v>0.19439935524777055</v>
      </c>
      <c r="R8" s="1">
        <f t="shared" ca="1" si="4"/>
        <v>0.20486205138561345</v>
      </c>
      <c r="S8" s="1">
        <f t="shared" ca="1" si="4"/>
        <v>0.20753438252497466</v>
      </c>
      <c r="T8" s="1">
        <f t="shared" ca="1" si="4"/>
        <v>0.21181785720436891</v>
      </c>
      <c r="U8" s="1">
        <f t="shared" ca="1" si="4"/>
        <v>0.22501789953111917</v>
      </c>
      <c r="V8" s="1">
        <f t="shared" ca="1" si="4"/>
        <v>0.25214661912874425</v>
      </c>
      <c r="W8" s="1">
        <f t="shared" ca="1" si="4"/>
        <v>0.28856275916103979</v>
      </c>
      <c r="X8" s="1">
        <f t="shared" ca="1" si="4"/>
        <v>0.31959868094728611</v>
      </c>
      <c r="Y8" s="1">
        <f t="shared" ca="1" si="4"/>
        <v>0.33717540395443413</v>
      </c>
      <c r="Z8" s="1">
        <f t="shared" ca="1" si="4"/>
        <v>0.34700345134877464</v>
      </c>
      <c r="AA8" s="1">
        <f t="shared" ca="1" si="4"/>
        <v>0.351174397346461</v>
      </c>
      <c r="AB8" s="1">
        <f t="shared" ca="1" si="4"/>
        <v>0.35285611301108288</v>
      </c>
      <c r="AC8" s="1">
        <f t="shared" ca="1" si="4"/>
        <v>0.35351958356799762</v>
      </c>
      <c r="AD8" s="1">
        <f t="shared" ca="1" si="4"/>
        <v>0.35377856174811811</v>
      </c>
      <c r="AE8" s="1">
        <f t="shared" ca="1" si="4"/>
        <v>0.35387870560205881</v>
      </c>
      <c r="AF8" s="1">
        <f t="shared" ca="1" si="4"/>
        <v>0.35391676107255959</v>
      </c>
      <c r="AG8" s="1">
        <f t="shared" ca="1" si="4"/>
        <v>0.3539305890956338</v>
      </c>
      <c r="AH8" s="1">
        <f t="shared" ca="1" si="4"/>
        <v>0.35393496987978357</v>
      </c>
      <c r="AI8" s="1">
        <f t="shared" ca="1" si="4"/>
        <v>0.35393566780945318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0.86048834778344374</v>
      </c>
      <c r="L10" s="1">
        <f t="shared" ca="1" si="5"/>
        <v>0.85788537629907702</v>
      </c>
      <c r="M10" s="1">
        <f t="shared" ca="1" si="5"/>
        <v>0.84154769242000149</v>
      </c>
      <c r="N10" s="1">
        <f t="shared" ca="1" si="5"/>
        <v>0.83011614740642969</v>
      </c>
      <c r="O10" s="1">
        <f t="shared" ca="1" si="5"/>
        <v>0.83101172407868873</v>
      </c>
      <c r="P10" s="1">
        <f t="shared" ca="1" si="5"/>
        <v>0.83266383470463889</v>
      </c>
      <c r="Q10" s="1">
        <f t="shared" ca="1" si="5"/>
        <v>0.82332903783377853</v>
      </c>
      <c r="R10" s="1">
        <f t="shared" ca="1" si="5"/>
        <v>0.81475970363157968</v>
      </c>
      <c r="S10" s="1">
        <f t="shared" ca="1" si="5"/>
        <v>0.81258530255833084</v>
      </c>
      <c r="T10" s="1">
        <f t="shared" ca="1" si="5"/>
        <v>0.80911205807800179</v>
      </c>
      <c r="U10" s="1">
        <f t="shared" ca="1" si="5"/>
        <v>0.79850192582138901</v>
      </c>
      <c r="V10" s="1">
        <f t="shared" ca="1" si="5"/>
        <v>0.77713078747650188</v>
      </c>
      <c r="W10" s="1">
        <f t="shared" ca="1" si="5"/>
        <v>0.749339775736096</v>
      </c>
      <c r="X10" s="1">
        <f t="shared" ca="1" si="5"/>
        <v>0.72644051300088797</v>
      </c>
      <c r="Y10" s="1">
        <f t="shared" ca="1" si="5"/>
        <v>0.71378362845070864</v>
      </c>
      <c r="Z10" s="1">
        <f t="shared" ca="1" si="5"/>
        <v>0.70680288883025555</v>
      </c>
      <c r="AA10" s="1">
        <f t="shared" ca="1" si="5"/>
        <v>0.70386099166200844</v>
      </c>
      <c r="AB10" s="1">
        <f t="shared" ca="1" si="5"/>
        <v>0.7026782923673186</v>
      </c>
      <c r="AC10" s="1">
        <f t="shared" ca="1" si="5"/>
        <v>0.70221224063224796</v>
      </c>
      <c r="AD10" s="1">
        <f t="shared" ca="1" si="5"/>
        <v>0.70203040653065929</v>
      </c>
      <c r="AE10" s="1">
        <f t="shared" ca="1" si="5"/>
        <v>0.70196010602030656</v>
      </c>
      <c r="AF10" s="1">
        <f t="shared" ca="1" si="5"/>
        <v>0.70193339310648861</v>
      </c>
      <c r="AG10" s="1">
        <f t="shared" ca="1" si="5"/>
        <v>0.70192368682244177</v>
      </c>
      <c r="AH10" s="1">
        <f t="shared" ca="1" si="5"/>
        <v>0.70192061185301557</v>
      </c>
      <c r="AI10" s="1">
        <f t="shared" ca="1" si="5"/>
        <v>0.70192012196196574</v>
      </c>
    </row>
    <row r="11" spans="1:35">
      <c r="A11" s="5">
        <v>1</v>
      </c>
      <c r="B11" s="25">
        <f>'Status Quo'!B11</f>
        <v>0.26028638242243257</v>
      </c>
      <c r="C11" s="18">
        <f ca="1">mpr1_/SUM(mpr1_,mpr2_,mpr3_)</f>
        <v>0.30011910897086014</v>
      </c>
      <c r="J11" t="s">
        <v>56</v>
      </c>
      <c r="K11" s="1">
        <f ca="1">1-sa</f>
        <v>0.13951165221655626</v>
      </c>
      <c r="L11" s="1">
        <f t="shared" ref="L11:AI11" ca="1" si="6">1-sa</f>
        <v>0.14211462370092298</v>
      </c>
      <c r="M11" s="1">
        <f t="shared" ca="1" si="6"/>
        <v>0.15845230757999851</v>
      </c>
      <c r="N11" s="1">
        <f t="shared" ca="1" si="6"/>
        <v>0.16988385259357031</v>
      </c>
      <c r="O11" s="1">
        <f t="shared" ca="1" si="6"/>
        <v>0.16898827592131127</v>
      </c>
      <c r="P11" s="1">
        <f t="shared" ca="1" si="6"/>
        <v>0.16733616529536111</v>
      </c>
      <c r="Q11" s="1">
        <f t="shared" ca="1" si="6"/>
        <v>0.17667096216622147</v>
      </c>
      <c r="R11" s="1">
        <f t="shared" ca="1" si="6"/>
        <v>0.18524029636842032</v>
      </c>
      <c r="S11" s="1">
        <f t="shared" ca="1" si="6"/>
        <v>0.18741469744166916</v>
      </c>
      <c r="T11" s="1">
        <f t="shared" ca="1" si="6"/>
        <v>0.19088794192199821</v>
      </c>
      <c r="U11" s="1">
        <f t="shared" ca="1" si="6"/>
        <v>0.20149807417861099</v>
      </c>
      <c r="V11" s="1">
        <f t="shared" ca="1" si="6"/>
        <v>0.22286921252349812</v>
      </c>
      <c r="W11" s="1">
        <f t="shared" ca="1" si="6"/>
        <v>0.250660224263904</v>
      </c>
      <c r="X11" s="1">
        <f t="shared" ca="1" si="6"/>
        <v>0.27355948699911203</v>
      </c>
      <c r="Y11" s="1">
        <f t="shared" ca="1" si="6"/>
        <v>0.28621637154929136</v>
      </c>
      <c r="Z11" s="1">
        <f t="shared" ca="1" si="6"/>
        <v>0.29319711116974445</v>
      </c>
      <c r="AA11" s="1">
        <f t="shared" ca="1" si="6"/>
        <v>0.29613900833799156</v>
      </c>
      <c r="AB11" s="1">
        <f t="shared" ca="1" si="6"/>
        <v>0.2973217076326814</v>
      </c>
      <c r="AC11" s="1">
        <f t="shared" ca="1" si="6"/>
        <v>0.29778775936775204</v>
      </c>
      <c r="AD11" s="1">
        <f t="shared" ca="1" si="6"/>
        <v>0.29796959346934071</v>
      </c>
      <c r="AE11" s="1">
        <f t="shared" ca="1" si="6"/>
        <v>0.29803989397969344</v>
      </c>
      <c r="AF11" s="1">
        <f t="shared" ca="1" si="6"/>
        <v>0.29806660689351139</v>
      </c>
      <c r="AG11" s="1">
        <f t="shared" ca="1" si="6"/>
        <v>0.29807631317755823</v>
      </c>
      <c r="AH11" s="1">
        <f t="shared" ca="1" si="6"/>
        <v>0.29807938814698443</v>
      </c>
      <c r="AI11" s="1">
        <f t="shared" ca="1" si="6"/>
        <v>0.29807987803803426</v>
      </c>
    </row>
    <row r="12" spans="1:35">
      <c r="A12" s="5">
        <v>2</v>
      </c>
      <c r="B12" s="25">
        <f>'Status Quo'!B12</f>
        <v>0.55746237931999676</v>
      </c>
      <c r="C12" s="18">
        <f ca="1">mpr2_/SUM(mpr1_,mpr2_,mpr3_)</f>
        <v>0.53185726888098617</v>
      </c>
      <c r="J12" t="s">
        <v>100</v>
      </c>
      <c r="K12">
        <f>1/(1+EXP(($E18-len)/2.5))</f>
        <v>5.6126934388498569E-12</v>
      </c>
      <c r="L12">
        <f t="shared" ref="L12:AI12" si="7">1/(1+EXP(($E18-len)/2.5))</f>
        <v>1.2978976454834829E-9</v>
      </c>
      <c r="M12">
        <f t="shared" si="7"/>
        <v>1.99637952261423E-7</v>
      </c>
      <c r="N12">
        <f t="shared" si="7"/>
        <v>2.1058746277498515E-5</v>
      </c>
      <c r="O12">
        <f t="shared" si="7"/>
        <v>1.564676467664138E-3</v>
      </c>
      <c r="P12">
        <f t="shared" si="7"/>
        <v>7.7870643543285392E-2</v>
      </c>
      <c r="Q12">
        <f t="shared" si="7"/>
        <v>0.77146898694811417</v>
      </c>
      <c r="R12">
        <f>1/(1+EXP(($E18-len)/2.5))</f>
        <v>0.99032644321048724</v>
      </c>
      <c r="S12">
        <f t="shared" si="7"/>
        <v>0.99958428557508638</v>
      </c>
      <c r="T12">
        <f t="shared" si="7"/>
        <v>0.99997757111253649</v>
      </c>
      <c r="U12">
        <f t="shared" si="7"/>
        <v>0.99999849463304669</v>
      </c>
      <c r="V12">
        <f t="shared" si="7"/>
        <v>0.99999987630899723</v>
      </c>
      <c r="W12">
        <f t="shared" si="7"/>
        <v>0.99999998774476839</v>
      </c>
      <c r="X12">
        <f t="shared" si="7"/>
        <v>0.9999999985562078</v>
      </c>
      <c r="Y12">
        <f t="shared" si="7"/>
        <v>0.99999999980035637</v>
      </c>
      <c r="Z12">
        <f t="shared" si="7"/>
        <v>0.99999999996798428</v>
      </c>
      <c r="AA12">
        <f t="shared" si="7"/>
        <v>0.99999999999411138</v>
      </c>
      <c r="AB12">
        <f t="shared" si="7"/>
        <v>0.99999999999877054</v>
      </c>
      <c r="AC12">
        <f t="shared" si="7"/>
        <v>0.99999999999971134</v>
      </c>
      <c r="AD12">
        <f t="shared" si="7"/>
        <v>0.9999999999999245</v>
      </c>
      <c r="AE12">
        <f t="shared" si="7"/>
        <v>0.99999999999997824</v>
      </c>
      <c r="AF12">
        <f t="shared" si="7"/>
        <v>0.99999999999999312</v>
      </c>
      <c r="AG12">
        <f t="shared" si="7"/>
        <v>0.99999999999999756</v>
      </c>
      <c r="AH12">
        <f t="shared" si="7"/>
        <v>0.99999999999999911</v>
      </c>
      <c r="AI12">
        <f t="shared" si="7"/>
        <v>0.99999999999999956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0.16802362214815378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0.27290683177643071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1.6152673409104486E-2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2.8003936236140991E-6</v>
      </c>
      <c r="L18" s="4">
        <f t="shared" ref="K18:O20" si="11">((EXP(g*(ah-age)/gh)/(1+EXP((ah-age)/gh))) *(1/(1-g))*((1-g)/g)^g) *(sr+(1-sr)*dmr)</f>
        <v>7.1844380013164611E-6</v>
      </c>
      <c r="M18" s="4">
        <f t="shared" si="11"/>
        <v>1.8430976549083743E-5</v>
      </c>
      <c r="N18" s="4">
        <f t="shared" si="11"/>
        <v>4.7282803581427317E-5</v>
      </c>
      <c r="O18" s="4">
        <f t="shared" si="11"/>
        <v>1.2223426423525944E-4</v>
      </c>
      <c r="P18" s="4">
        <f t="shared" ref="P18:AI18" si="12">((EXP(g*(ah-age)/gh)/(1+EXP((ah-age)/gh))) *(1/(1-g))*((1-g)/g)^g) *(sr_1+(1-sr_1)*dmr)</f>
        <v>4.3768996698402487E-4</v>
      </c>
      <c r="Q18" s="4">
        <f t="shared" si="12"/>
        <v>4.0131745713037487E-3</v>
      </c>
      <c r="R18" s="4">
        <f t="shared" si="12"/>
        <v>1.2541150244253106E-2</v>
      </c>
      <c r="S18" s="4">
        <f t="shared" si="12"/>
        <v>3.1798242599123998E-2</v>
      </c>
      <c r="T18" s="4">
        <f t="shared" si="12"/>
        <v>7.7737150420918499E-2</v>
      </c>
      <c r="U18" s="4">
        <f t="shared" si="12"/>
        <v>0.17780713941703752</v>
      </c>
      <c r="V18" s="4">
        <f t="shared" si="12"/>
        <v>0.35685360493485607</v>
      </c>
      <c r="W18" s="4">
        <f t="shared" si="12"/>
        <v>0.58740289618622155</v>
      </c>
      <c r="X18" s="4">
        <f t="shared" si="12"/>
        <v>0.78510412883741709</v>
      </c>
      <c r="Y18" s="4">
        <f t="shared" si="12"/>
        <v>0.90364572740855598</v>
      </c>
      <c r="Z18" s="4">
        <f t="shared" si="12"/>
        <v>0.96014681956456516</v>
      </c>
      <c r="AA18" s="4">
        <f t="shared" si="12"/>
        <v>0.98412543858595092</v>
      </c>
      <c r="AB18" s="4">
        <f t="shared" si="12"/>
        <v>0.99379356165602495</v>
      </c>
      <c r="AC18" s="4">
        <f t="shared" si="12"/>
        <v>0.9976078301037562</v>
      </c>
      <c r="AD18" s="4">
        <f t="shared" si="12"/>
        <v>0.99909668637746618</v>
      </c>
      <c r="AE18" s="4">
        <f t="shared" si="12"/>
        <v>0.99967240980383243</v>
      </c>
      <c r="AF18" s="4">
        <f t="shared" si="12"/>
        <v>0.99989118933953602</v>
      </c>
      <c r="AG18" s="4">
        <f t="shared" si="12"/>
        <v>0.99997068614848539</v>
      </c>
      <c r="AH18" s="4">
        <f t="shared" si="12"/>
        <v>0.99999587111952071</v>
      </c>
      <c r="AI18" s="4">
        <f t="shared" si="12"/>
        <v>0.99999988349217195</v>
      </c>
    </row>
    <row r="19" spans="1:39">
      <c r="A19" t="s">
        <v>21</v>
      </c>
      <c r="B19">
        <v>12</v>
      </c>
      <c r="E19">
        <v>200</v>
      </c>
      <c r="F19" s="31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104</v>
      </c>
      <c r="K19" s="4">
        <f t="shared" si="11"/>
        <v>2.7964157702224891E-3</v>
      </c>
      <c r="L19" s="4">
        <f t="shared" si="11"/>
        <v>3.6111154877206453E-2</v>
      </c>
      <c r="M19" s="4">
        <f t="shared" si="11"/>
        <v>0.24762983537369712</v>
      </c>
      <c r="N19" s="4">
        <f t="shared" si="11"/>
        <v>0.39787101397350638</v>
      </c>
      <c r="O19" s="4">
        <f t="shared" si="11"/>
        <v>0.38507509694781172</v>
      </c>
      <c r="P19" s="4">
        <f t="shared" ref="P19:Y19" si="13">((EXP(g*(ah-age)/gh)/(1+EXP((ah-age)/gh))) *(1/(1-g))*((1-g)/g)^g) *(sr_2+(1-sr_2)*dmr)</f>
        <v>0.35372767115843323</v>
      </c>
      <c r="Q19" s="4">
        <f t="shared" si="13"/>
        <v>0.32463963817095953</v>
      </c>
      <c r="R19" s="4">
        <f t="shared" si="13"/>
        <v>0.29787942426955161</v>
      </c>
      <c r="S19" s="4">
        <f t="shared" si="13"/>
        <v>0.27332116734651052</v>
      </c>
      <c r="T19" s="4">
        <f t="shared" si="13"/>
        <v>0.25078734475789327</v>
      </c>
      <c r="U19" s="4">
        <f t="shared" si="13"/>
        <v>0.23011129712513781</v>
      </c>
      <c r="V19" s="4">
        <f t="shared" si="13"/>
        <v>0.21113987588133884</v>
      </c>
      <c r="W19" s="4">
        <f t="shared" si="13"/>
        <v>0.1937325447811285</v>
      </c>
      <c r="X19" s="4">
        <f t="shared" si="13"/>
        <v>0.17776035317874878</v>
      </c>
      <c r="Y19" s="4">
        <f t="shared" si="13"/>
        <v>0.1631049816562902</v>
      </c>
      <c r="Z19" s="4">
        <f>Y19</f>
        <v>0.1631049816562902</v>
      </c>
      <c r="AA19" s="4">
        <f t="shared" ref="AA19:AI20" si="14">Z19</f>
        <v>0.1631049816562902</v>
      </c>
      <c r="AB19" s="4">
        <f t="shared" si="14"/>
        <v>0.1631049816562902</v>
      </c>
      <c r="AC19" s="4">
        <f t="shared" si="14"/>
        <v>0.1631049816562902</v>
      </c>
      <c r="AD19" s="4">
        <f t="shared" si="14"/>
        <v>0.1631049816562902</v>
      </c>
      <c r="AE19" s="4">
        <f t="shared" si="14"/>
        <v>0.1631049816562902</v>
      </c>
      <c r="AF19" s="4">
        <f t="shared" si="14"/>
        <v>0.1631049816562902</v>
      </c>
      <c r="AG19" s="4">
        <f t="shared" si="14"/>
        <v>0.1631049816562902</v>
      </c>
      <c r="AH19" s="4">
        <f t="shared" si="14"/>
        <v>0.1631049816562902</v>
      </c>
      <c r="AI19" s="4">
        <f t="shared" si="14"/>
        <v>0.1631049816562902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1"/>
        <v>2.2510614333307156E-5</v>
      </c>
      <c r="L20" s="4">
        <f t="shared" si="11"/>
        <v>8.0630272519583498E-5</v>
      </c>
      <c r="M20" s="4">
        <f t="shared" si="11"/>
        <v>2.8814426343204755E-4</v>
      </c>
      <c r="N20" s="4">
        <f t="shared" si="11"/>
        <v>1.0209696764107985E-3</v>
      </c>
      <c r="O20" s="4">
        <f t="shared" si="11"/>
        <v>3.6395964263644795E-3</v>
      </c>
      <c r="P20" s="4">
        <f t="shared" ref="P20:Y20" si="15">((EXP(g*(ah-age)/gh)/(1+EXP((ah-age)/gh))) *(1/(1-g))*((1-g)/g)^g) *(sr_3+(1-sr_3)*dmr)</f>
        <v>3.3246043236910654E-2</v>
      </c>
      <c r="Q20" s="4">
        <f t="shared" si="15"/>
        <v>0.52071205722667446</v>
      </c>
      <c r="R20" s="4">
        <f t="shared" si="15"/>
        <v>0.93908880481731272</v>
      </c>
      <c r="S20" s="4">
        <f t="shared" si="15"/>
        <v>0.99607347533585666</v>
      </c>
      <c r="T20" s="4">
        <f t="shared" si="15"/>
        <v>0.9352196649008131</v>
      </c>
      <c r="U20" s="4">
        <f t="shared" si="15"/>
        <v>0.84987243594328499</v>
      </c>
      <c r="V20" s="4">
        <f t="shared" si="15"/>
        <v>0.7658549491047888</v>
      </c>
      <c r="W20" s="4">
        <f t="shared" si="15"/>
        <v>0.68868156786342249</v>
      </c>
      <c r="X20" s="4">
        <f t="shared" si="15"/>
        <v>0.61895509223172329</v>
      </c>
      <c r="Y20" s="4">
        <f t="shared" si="15"/>
        <v>0.55621388310667164</v>
      </c>
      <c r="Z20" s="4">
        <f>Y20</f>
        <v>0.55621388310667164</v>
      </c>
      <c r="AA20" s="4">
        <f t="shared" si="14"/>
        <v>0.55621388310667164</v>
      </c>
      <c r="AB20" s="4">
        <f t="shared" si="14"/>
        <v>0.55621388310667164</v>
      </c>
      <c r="AC20" s="4">
        <f t="shared" si="14"/>
        <v>0.55621388310667164</v>
      </c>
      <c r="AD20" s="4">
        <f t="shared" si="14"/>
        <v>0.55621388310667164</v>
      </c>
      <c r="AE20" s="4">
        <f t="shared" si="14"/>
        <v>0.55621388310667164</v>
      </c>
      <c r="AF20" s="4">
        <f t="shared" si="14"/>
        <v>0.55621388310667164</v>
      </c>
      <c r="AG20" s="4">
        <f t="shared" si="14"/>
        <v>0.55621388310667164</v>
      </c>
      <c r="AH20" s="4">
        <f t="shared" si="14"/>
        <v>0.55621388310667164</v>
      </c>
      <c r="AI20" s="4">
        <f t="shared" si="14"/>
        <v>0.55621388310667164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6">wa*flt1_*(1-EXP(-za))/za</f>
        <v>1.8242344983307848E-7</v>
      </c>
      <c r="L22" s="1">
        <f t="shared" ca="1" si="16"/>
        <v>3.0799096641948293E-6</v>
      </c>
      <c r="M22" s="1">
        <f t="shared" ca="1" si="16"/>
        <v>2.372857622769242E-5</v>
      </c>
      <c r="N22" s="1">
        <f t="shared" ca="1" si="16"/>
        <v>1.3056150045420443E-4</v>
      </c>
      <c r="O22" s="1">
        <f t="shared" ca="1" si="16"/>
        <v>6.0245252317196502E-4</v>
      </c>
      <c r="P22" s="1">
        <f t="shared" ca="1" si="16"/>
        <v>3.4090275796884936E-3</v>
      </c>
      <c r="Q22" s="1">
        <f t="shared" ca="1" si="16"/>
        <v>4.5088903096984878E-2</v>
      </c>
      <c r="R22" s="1">
        <f t="shared" ca="1" si="16"/>
        <v>0.19108390223544511</v>
      </c>
      <c r="S22" s="1">
        <f t="shared" ca="1" si="16"/>
        <v>0.62900797037640566</v>
      </c>
      <c r="T22" s="1">
        <f t="shared" ca="1" si="16"/>
        <v>1.9219746753422842</v>
      </c>
      <c r="U22" s="1">
        <f t="shared" ca="1" si="16"/>
        <v>5.3097230187829147</v>
      </c>
      <c r="V22" s="1">
        <f t="shared" ca="1" si="16"/>
        <v>12.475871072107712</v>
      </c>
      <c r="W22" s="1">
        <f t="shared" ca="1" si="16"/>
        <v>23.454053358547323</v>
      </c>
      <c r="X22" s="1">
        <f t="shared" ca="1" si="16"/>
        <v>35.285397986911789</v>
      </c>
      <c r="Y22" s="1">
        <f t="shared" ca="1" si="16"/>
        <v>45.33985574977865</v>
      </c>
      <c r="Z22" s="1">
        <f t="shared" ca="1" si="16"/>
        <v>53.304079583472458</v>
      </c>
      <c r="AA22" s="1">
        <f t="shared" ca="1" si="16"/>
        <v>59.956405943809266</v>
      </c>
      <c r="AB22" s="1">
        <f t="shared" ca="1" si="16"/>
        <v>65.89007886470273</v>
      </c>
      <c r="AC22" s="1">
        <f t="shared" ca="1" si="16"/>
        <v>71.417422524567954</v>
      </c>
      <c r="AD22" s="1">
        <f t="shared" ca="1" si="16"/>
        <v>76.675472802435749</v>
      </c>
      <c r="AE22" s="1">
        <f t="shared" ca="1" si="16"/>
        <v>81.716487721614371</v>
      </c>
      <c r="AF22" s="1">
        <f t="shared" ca="1" si="16"/>
        <v>86.556400918990562</v>
      </c>
      <c r="AG22" s="1">
        <f t="shared" ca="1" si="16"/>
        <v>91.197310592264571</v>
      </c>
      <c r="AH22" s="1">
        <f t="shared" ca="1" si="16"/>
        <v>95.637202833274287</v>
      </c>
      <c r="AI22" s="1">
        <f t="shared" ca="1" si="16"/>
        <v>99.873892742392101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7">wa*flt2_*(1-EXP(-za))/za</f>
        <v>1.8216432421141278E-4</v>
      </c>
      <c r="L23" s="1">
        <f t="shared" ca="1" si="17"/>
        <v>1.5480556011641392E-2</v>
      </c>
      <c r="M23" s="1">
        <f t="shared" ca="1" si="17"/>
        <v>0.31880586518394788</v>
      </c>
      <c r="N23" s="1">
        <f t="shared" ca="1" si="17"/>
        <v>1.0986369808244909</v>
      </c>
      <c r="O23" s="1">
        <f t="shared" ca="1" si="17"/>
        <v>1.8979086201263278</v>
      </c>
      <c r="P23" s="1">
        <f t="shared" ca="1" si="17"/>
        <v>2.7550720318935107</v>
      </c>
      <c r="Q23" s="1">
        <f t="shared" ca="1" si="17"/>
        <v>3.6473980702452566</v>
      </c>
      <c r="R23" s="1">
        <f t="shared" ca="1" si="17"/>
        <v>4.5386556796221171</v>
      </c>
      <c r="S23" s="1">
        <f t="shared" ca="1" si="17"/>
        <v>5.4066256082427238</v>
      </c>
      <c r="T23" s="1">
        <f t="shared" ca="1" si="17"/>
        <v>6.2004707261729113</v>
      </c>
      <c r="U23" s="1">
        <f t="shared" ca="1" si="17"/>
        <v>6.8716433728884523</v>
      </c>
      <c r="V23" s="1">
        <f t="shared" ca="1" si="17"/>
        <v>7.3816092460584084</v>
      </c>
      <c r="W23" s="1">
        <f t="shared" ca="1" si="17"/>
        <v>7.7354290761672431</v>
      </c>
      <c r="X23" s="1">
        <f t="shared" ca="1" si="17"/>
        <v>7.989188411853398</v>
      </c>
      <c r="Y23" s="1">
        <f t="shared" ca="1" si="17"/>
        <v>8.1836898200958288</v>
      </c>
      <c r="Z23" s="1">
        <f t="shared" ca="1" si="17"/>
        <v>9.0550327778105704</v>
      </c>
      <c r="AA23" s="1">
        <f t="shared" ca="1" si="17"/>
        <v>9.9369329439277685</v>
      </c>
      <c r="AB23" s="1">
        <f t="shared" ca="1" si="17"/>
        <v>10.814117256556186</v>
      </c>
      <c r="AC23" s="1">
        <f t="shared" ca="1" si="17"/>
        <v>11.676469489616654</v>
      </c>
      <c r="AD23" s="1">
        <f t="shared" ca="1" si="17"/>
        <v>12.517458775960494</v>
      </c>
      <c r="AE23" s="1">
        <f t="shared" ca="1" si="17"/>
        <v>13.332733903765359</v>
      </c>
      <c r="AF23" s="1">
        <f t="shared" ca="1" si="17"/>
        <v>14.119316516281891</v>
      </c>
      <c r="AG23" s="1">
        <f t="shared" ca="1" si="17"/>
        <v>14.87517171982936</v>
      </c>
      <c r="AH23" s="1">
        <f t="shared" ca="1" si="17"/>
        <v>15.598968620057137</v>
      </c>
      <c r="AI23" s="1">
        <f t="shared" ca="1" si="17"/>
        <v>16.289931341594677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8">wa*flt3_*(1-EXP(-za))/za</f>
        <v>1.4663881141266718E-6</v>
      </c>
      <c r="L24" s="1">
        <f t="shared" ca="1" si="18"/>
        <v>3.45655367217622E-5</v>
      </c>
      <c r="M24" s="1">
        <f t="shared" ca="1" si="18"/>
        <v>3.7096532032425189E-4</v>
      </c>
      <c r="N24" s="1">
        <f t="shared" ca="1" si="18"/>
        <v>2.8191926614689446E-3</v>
      </c>
      <c r="O24" s="1">
        <f t="shared" ca="1" si="18"/>
        <v>1.793837484202282E-2</v>
      </c>
      <c r="P24" s="1">
        <f t="shared" ca="1" si="18"/>
        <v>0.25894282907855914</v>
      </c>
      <c r="Q24" s="1">
        <f t="shared" ca="1" si="18"/>
        <v>5.8503150243219624</v>
      </c>
      <c r="R24" s="1">
        <f t="shared" ca="1" si="18"/>
        <v>14.308476485427773</v>
      </c>
      <c r="S24" s="1">
        <f t="shared" ca="1" si="18"/>
        <v>19.703546606819089</v>
      </c>
      <c r="T24" s="1">
        <f t="shared" ca="1" si="18"/>
        <v>23.122387456818515</v>
      </c>
      <c r="U24" s="1">
        <f t="shared" ca="1" si="18"/>
        <v>25.379111609085207</v>
      </c>
      <c r="V24" s="1">
        <f t="shared" ca="1" si="18"/>
        <v>26.774866423757096</v>
      </c>
      <c r="W24" s="1">
        <f t="shared" ca="1" si="18"/>
        <v>27.497947906943974</v>
      </c>
      <c r="X24" s="1">
        <f t="shared" ca="1" si="18"/>
        <v>27.818063825193292</v>
      </c>
      <c r="Y24" s="1">
        <f t="shared" ca="1" si="18"/>
        <v>27.907681584908204</v>
      </c>
      <c r="Z24" s="1">
        <f t="shared" ca="1" si="18"/>
        <v>30.879099411063102</v>
      </c>
      <c r="AA24" s="1">
        <f t="shared" ca="1" si="18"/>
        <v>33.886518994004753</v>
      </c>
      <c r="AB24" s="1">
        <f t="shared" ca="1" si="18"/>
        <v>36.877856767828611</v>
      </c>
      <c r="AC24" s="1">
        <f t="shared" ca="1" si="18"/>
        <v>39.818614795483704</v>
      </c>
      <c r="AD24" s="1">
        <f t="shared" ca="1" si="18"/>
        <v>42.686521783108041</v>
      </c>
      <c r="AE24" s="1">
        <f t="shared" ca="1" si="18"/>
        <v>45.466739407559402</v>
      </c>
      <c r="AF24" s="1">
        <f t="shared" ca="1" si="18"/>
        <v>48.14911099945823</v>
      </c>
      <c r="AG24" s="1">
        <f t="shared" ca="1" si="18"/>
        <v>50.726697248279628</v>
      </c>
      <c r="AH24" s="1">
        <f t="shared" ca="1" si="18"/>
        <v>53.19495959298613</v>
      </c>
      <c r="AI24" s="1">
        <f t="shared" ca="1" si="18"/>
        <v>55.551252175380874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2.6001597896539639E-6</v>
      </c>
      <c r="L26">
        <f t="shared" ref="L26:AI26" ca="1" si="19">qa1_/wa</f>
        <v>6.6608940990063603E-6</v>
      </c>
      <c r="M26">
        <f t="shared" ca="1" si="19"/>
        <v>1.6928797719741996E-5</v>
      </c>
      <c r="N26">
        <f t="shared" ca="1" si="19"/>
        <v>4.3141951100428814E-5</v>
      </c>
      <c r="O26">
        <f t="shared" ca="1" si="19"/>
        <v>1.1158772646576504E-4</v>
      </c>
      <c r="P26">
        <f t="shared" ca="1" si="19"/>
        <v>3.9995221547208632E-4</v>
      </c>
      <c r="Q26">
        <f t="shared" ca="1" si="19"/>
        <v>3.6471901460248175E-3</v>
      </c>
      <c r="R26">
        <f t="shared" ca="1" si="19"/>
        <v>1.1339954727259337E-2</v>
      </c>
      <c r="S26">
        <f t="shared" ca="1" si="19"/>
        <v>2.8715521463892665E-2</v>
      </c>
      <c r="T26">
        <f t="shared" ca="1" si="19"/>
        <v>7.0055871825823859E-2</v>
      </c>
      <c r="U26">
        <f t="shared" ca="1" si="19"/>
        <v>0.15922198297289678</v>
      </c>
      <c r="V26">
        <f t="shared" ca="1" si="19"/>
        <v>0.31541839503068875</v>
      </c>
      <c r="W26">
        <f t="shared" ca="1" si="19"/>
        <v>0.51024789934564907</v>
      </c>
      <c r="X26">
        <f t="shared" ca="1" si="19"/>
        <v>0.67200741282493814</v>
      </c>
      <c r="Y26">
        <f t="shared" ca="1" si="19"/>
        <v>0.76707315608302584</v>
      </c>
      <c r="Z26">
        <f t="shared" ca="1" si="19"/>
        <v>0.81126649519171257</v>
      </c>
      <c r="AA26">
        <f t="shared" ca="1" si="19"/>
        <v>0.82989515655239587</v>
      </c>
      <c r="AB26">
        <f t="shared" ca="1" si="19"/>
        <v>0.83738495066586283</v>
      </c>
      <c r="AC26">
        <f t="shared" ca="1" si="19"/>
        <v>0.84033647430788438</v>
      </c>
      <c r="AD26">
        <f t="shared" ca="1" si="19"/>
        <v>0.84148805401163507</v>
      </c>
      <c r="AE26">
        <f t="shared" ca="1" si="19"/>
        <v>0.84193327915977745</v>
      </c>
      <c r="AF26">
        <f t="shared" ca="1" si="19"/>
        <v>0.84210245699002206</v>
      </c>
      <c r="AG26">
        <f t="shared" ca="1" si="19"/>
        <v>0.84216392873641788</v>
      </c>
      <c r="AH26">
        <f t="shared" ca="1" si="19"/>
        <v>0.84218340310950823</v>
      </c>
      <c r="AI26">
        <f t="shared" ca="1" si="19"/>
        <v>0.84218650568405284</v>
      </c>
      <c r="AM26" s="44"/>
    </row>
    <row r="27" spans="1:39">
      <c r="A27" t="s">
        <v>14</v>
      </c>
      <c r="B27" s="28">
        <f ca="1">fbar*C27</f>
        <v>0.17394437911401026</v>
      </c>
      <c r="C27" s="36">
        <f ca="1">CHOOSE(C$25,E36,E39,1)</f>
        <v>1.7865718643886828</v>
      </c>
      <c r="E27" s="42">
        <f ca="1">f1_/(F4/(f1_*365*re*phib))</f>
        <v>203.46575113885436</v>
      </c>
      <c r="J27" s="8" t="s">
        <v>31</v>
      </c>
      <c r="K27">
        <f t="shared" ref="K27:AI27" ca="1" si="20">qa2_/wa</f>
        <v>2.5964663608621019E-3</v>
      </c>
      <c r="L27">
        <f t="shared" ca="1" si="20"/>
        <v>3.3479665129800627E-2</v>
      </c>
      <c r="M27">
        <f t="shared" ca="1" si="20"/>
        <v>0.22744727503995057</v>
      </c>
      <c r="N27">
        <f t="shared" ca="1" si="20"/>
        <v>0.36302694698639709</v>
      </c>
      <c r="O27">
        <f t="shared" ca="1" si="20"/>
        <v>0.35153526595691997</v>
      </c>
      <c r="P27">
        <f t="shared" ca="1" si="20"/>
        <v>0.32322917230305304</v>
      </c>
      <c r="Q27">
        <f t="shared" ca="1" si="20"/>
        <v>0.29503388609420389</v>
      </c>
      <c r="R27">
        <f t="shared" ca="1" si="20"/>
        <v>0.26934843452232043</v>
      </c>
      <c r="S27">
        <f t="shared" ca="1" si="20"/>
        <v>0.24682369860563105</v>
      </c>
      <c r="T27">
        <f t="shared" ca="1" si="20"/>
        <v>0.22600681893749922</v>
      </c>
      <c r="U27">
        <f t="shared" ca="1" si="20"/>
        <v>0.20605908825064392</v>
      </c>
      <c r="V27">
        <f t="shared" ca="1" si="20"/>
        <v>0.18662387000301744</v>
      </c>
      <c r="W27">
        <f t="shared" ca="1" si="20"/>
        <v>0.16828589823315962</v>
      </c>
      <c r="X27">
        <f t="shared" ca="1" si="20"/>
        <v>0.15215341590342824</v>
      </c>
      <c r="Y27">
        <f t="shared" ca="1" si="20"/>
        <v>0.13845409684030774</v>
      </c>
      <c r="Z27">
        <f t="shared" ca="1" si="20"/>
        <v>0.13781393024518493</v>
      </c>
      <c r="AA27">
        <f t="shared" ca="1" si="20"/>
        <v>0.13754347665335817</v>
      </c>
      <c r="AB27">
        <f t="shared" ca="1" si="20"/>
        <v>0.13743463661609343</v>
      </c>
      <c r="AC27">
        <f t="shared" ca="1" si="20"/>
        <v>0.13739172958660903</v>
      </c>
      <c r="AD27">
        <f t="shared" ca="1" si="20"/>
        <v>0.13737498631008438</v>
      </c>
      <c r="AE27">
        <f t="shared" ca="1" si="20"/>
        <v>0.13736851263117583</v>
      </c>
      <c r="AF27">
        <f t="shared" ca="1" si="20"/>
        <v>0.13736605269099308</v>
      </c>
      <c r="AG27">
        <f t="shared" ca="1" si="20"/>
        <v>0.13736515885001252</v>
      </c>
      <c r="AH27">
        <f t="shared" ca="1" si="20"/>
        <v>0.13736487567856212</v>
      </c>
      <c r="AI27">
        <f t="shared" ca="1" si="20"/>
        <v>0.13736483056485063</v>
      </c>
    </row>
    <row r="28" spans="1:39">
      <c r="A28" t="s">
        <v>15</v>
      </c>
      <c r="B28" s="28">
        <f ca="1">fbar*C28</f>
        <v>9.086759088260199E-2</v>
      </c>
      <c r="C28" s="36">
        <f ca="1">CHOOSE(C$25,E37,E40,1)</f>
        <v>0.9332953561507904</v>
      </c>
      <c r="E28" s="42">
        <f ca="1">f2_/(F5/(f2_*365*re*phib))</f>
        <v>148.88329092463877</v>
      </c>
      <c r="J28" s="8" t="s">
        <v>32</v>
      </c>
      <c r="K28">
        <f t="shared" ref="K28:AI28" ca="1" si="21">qa3_/wa</f>
        <v>2.0901059671152566E-5</v>
      </c>
      <c r="L28">
        <f t="shared" ca="1" si="21"/>
        <v>7.4754588504842944E-5</v>
      </c>
      <c r="M28">
        <f t="shared" ca="1" si="21"/>
        <v>2.6465965798148005E-4</v>
      </c>
      <c r="N28">
        <f t="shared" ca="1" si="21"/>
        <v>9.3155694075714259E-4</v>
      </c>
      <c r="O28">
        <f t="shared" ca="1" si="21"/>
        <v>3.3225895620336448E-3</v>
      </c>
      <c r="P28">
        <f t="shared" ca="1" si="21"/>
        <v>3.0379560079723065E-2</v>
      </c>
      <c r="Q28">
        <f t="shared" ca="1" si="21"/>
        <v>0.47322533577612874</v>
      </c>
      <c r="R28">
        <f t="shared" ca="1" si="21"/>
        <v>0.84914256859209047</v>
      </c>
      <c r="S28">
        <f t="shared" ca="1" si="21"/>
        <v>0.89950786341283262</v>
      </c>
      <c r="T28">
        <f t="shared" ca="1" si="21"/>
        <v>0.84280975850705986</v>
      </c>
      <c r="U28">
        <f t="shared" ca="1" si="21"/>
        <v>0.76104016390204521</v>
      </c>
      <c r="V28">
        <f t="shared" ca="1" si="21"/>
        <v>0.67692951824611702</v>
      </c>
      <c r="W28">
        <f t="shared" ca="1" si="21"/>
        <v>0.59822368190874098</v>
      </c>
      <c r="X28">
        <f t="shared" ca="1" si="21"/>
        <v>0.52979266686750093</v>
      </c>
      <c r="Y28">
        <f t="shared" ca="1" si="21"/>
        <v>0.47215045214166096</v>
      </c>
      <c r="Z28">
        <f t="shared" ca="1" si="21"/>
        <v>0.46996738241507963</v>
      </c>
      <c r="AA28">
        <f t="shared" ca="1" si="21"/>
        <v>0.46904509272789463</v>
      </c>
      <c r="AB28">
        <f t="shared" ca="1" si="21"/>
        <v>0.46867393092063558</v>
      </c>
      <c r="AC28">
        <f t="shared" ca="1" si="21"/>
        <v>0.46852761113788127</v>
      </c>
      <c r="AD28">
        <f t="shared" ca="1" si="21"/>
        <v>0.46847051390665539</v>
      </c>
      <c r="AE28">
        <f t="shared" ca="1" si="21"/>
        <v>0.46844843763377197</v>
      </c>
      <c r="AF28">
        <f t="shared" ca="1" si="21"/>
        <v>0.46844004884719204</v>
      </c>
      <c r="AG28">
        <f t="shared" ca="1" si="21"/>
        <v>0.46843700070753591</v>
      </c>
      <c r="AH28">
        <f t="shared" ca="1" si="21"/>
        <v>0.46843603504793185</v>
      </c>
      <c r="AI28">
        <f t="shared" ca="1" si="21"/>
        <v>0.4684358812030131</v>
      </c>
    </row>
    <row r="29" spans="1:39">
      <c r="A29" t="s">
        <v>19</v>
      </c>
      <c r="B29" s="28">
        <f ca="1">fbar*C29</f>
        <v>2.7274314212608841E-2</v>
      </c>
      <c r="C29" s="36">
        <f ca="1">CHOOSE(C$25,E38,E41,1)</f>
        <v>0.28013277946052695</v>
      </c>
      <c r="E29" s="42">
        <f ca="1">f3_/(F6/(f3_*365*re*phib))</f>
        <v>17.640107532540785</v>
      </c>
    </row>
    <row r="30" spans="1:39">
      <c r="A30" t="s">
        <v>95</v>
      </c>
      <c r="B30" s="28">
        <v>9.7362094736407029E-2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0.29208628420922111</v>
      </c>
      <c r="G31">
        <f ca="1">SUMPRODUCT(dlz1_,wa,ma)</f>
        <v>-69.238781719695581</v>
      </c>
      <c r="H31">
        <f ca="1">Ro/(reck-1)*phie/phif^2*dphif</f>
        <v>-8718.3938259898223</v>
      </c>
      <c r="J31" s="8" t="s">
        <v>52</v>
      </c>
      <c r="K31">
        <v>0</v>
      </c>
      <c r="L31">
        <f t="shared" ref="L31:AH31" ca="1" si="22">K31*sa-K$7*K18*K$10</f>
        <v>-2.4097060823269871E-6</v>
      </c>
      <c r="M31">
        <f t="shared" ca="1" si="22"/>
        <v>-7.33143738408801E-6</v>
      </c>
      <c r="N31">
        <f t="shared" ca="1" si="22"/>
        <v>-1.7535835193436194E-5</v>
      </c>
      <c r="O31">
        <f t="shared" ca="1" si="22"/>
        <v>-3.8955930134540707E-5</v>
      </c>
      <c r="P31">
        <f t="shared" ca="1" si="22"/>
        <v>-8.4820387211827764E-5</v>
      </c>
      <c r="Q31">
        <f t="shared" ca="1" si="22"/>
        <v>-2.2601864088999844E-4</v>
      </c>
      <c r="R31">
        <f t="shared" ca="1" si="22"/>
        <v>-1.3631953667591816E-3</v>
      </c>
      <c r="S31">
        <f t="shared" ca="1" si="22"/>
        <v>-4.1097012121177707E-3</v>
      </c>
      <c r="T31">
        <f t="shared" ca="1" si="22"/>
        <v>-9.5102666065813926E-3</v>
      </c>
      <c r="U31">
        <f t="shared" ca="1" si="22"/>
        <v>-1.9828232641637196E-2</v>
      </c>
      <c r="V31">
        <f t="shared" ca="1" si="22"/>
        <v>-3.775382759584351E-2</v>
      </c>
      <c r="W31">
        <f t="shared" ca="1" si="22"/>
        <v>-6.3140982841824345E-2</v>
      </c>
      <c r="X31">
        <f t="shared" ca="1" si="22"/>
        <v>-8.8854884119415362E-2</v>
      </c>
      <c r="Y31">
        <f t="shared" ca="1" si="22"/>
        <v>-0.10516057239840432</v>
      </c>
      <c r="Z31">
        <f t="shared" ca="1" si="22"/>
        <v>-0.10861744419727652</v>
      </c>
      <c r="AA31">
        <f t="shared" ca="1" si="22"/>
        <v>-0.10220297866276325</v>
      </c>
      <c r="AB31">
        <f t="shared" ca="1" si="22"/>
        <v>-9.0393880299187268E-2</v>
      </c>
      <c r="AC31">
        <f t="shared" ca="1" si="22"/>
        <v>-7.66583402124624E-2</v>
      </c>
      <c r="AD31">
        <f t="shared" ca="1" si="22"/>
        <v>-6.3109033896424263E-2</v>
      </c>
      <c r="AE31">
        <f t="shared" ca="1" si="22"/>
        <v>-5.0833411551986084E-2</v>
      </c>
      <c r="AF31">
        <f t="shared" ca="1" si="22"/>
        <v>-4.0270489141907673E-2</v>
      </c>
      <c r="AG31">
        <f t="shared" ca="1" si="22"/>
        <v>-3.1488561193274991E-2</v>
      </c>
      <c r="AH31">
        <f t="shared" ca="1" si="22"/>
        <v>-2.4364073263821909E-2</v>
      </c>
      <c r="AI31">
        <f ca="1">(AH31*sa-AH$7*AH18*AH$10)/oa-AH$7*AH$10*flt1_*sa/oa^2</f>
        <v>-7.5239635896187873E-2</v>
      </c>
    </row>
    <row r="32" spans="1:39">
      <c r="A32" s="12" t="s">
        <v>22</v>
      </c>
      <c r="B32" s="12"/>
      <c r="C32" s="12"/>
      <c r="G32">
        <f ca="1">SUMPRODUCT(dlz2_,wa,ma)</f>
        <v>-80.873078524955673</v>
      </c>
      <c r="H32">
        <f ca="1">Ro/(reck-1)*phie/phif^2*dphif</f>
        <v>-10183.358675419855</v>
      </c>
      <c r="J32" s="8" t="s">
        <v>53</v>
      </c>
      <c r="K32">
        <v>0</v>
      </c>
      <c r="L32">
        <f t="shared" ref="L32:AH32" ca="1" si="23">K32*sa-K$7*K19*K$10</f>
        <v>-2.4062831858343158E-3</v>
      </c>
      <c r="M32">
        <f t="shared" ca="1" si="23"/>
        <v>-2.8682269955243526E-2</v>
      </c>
      <c r="N32">
        <f t="shared" ca="1" si="23"/>
        <v>-0.17764490061215735</v>
      </c>
      <c r="O32">
        <f t="shared" ca="1" si="23"/>
        <v>-0.35280458367820133</v>
      </c>
      <c r="P32">
        <f t="shared" ca="1" si="23"/>
        <v>-0.45879060242837183</v>
      </c>
      <c r="Q32">
        <f t="shared" ca="1" si="23"/>
        <v>-0.50395840549264315</v>
      </c>
      <c r="R32">
        <f t="shared" ca="1" si="23"/>
        <v>-0.50598200713205477</v>
      </c>
      <c r="S32">
        <f t="shared" ca="1" si="23"/>
        <v>-0.48245726218809087</v>
      </c>
      <c r="T32">
        <f t="shared" ca="1" si="23"/>
        <v>-0.44352553072937878</v>
      </c>
      <c r="U32">
        <f t="shared" ca="1" si="23"/>
        <v>-0.3936248824576577</v>
      </c>
      <c r="V32">
        <f t="shared" ca="1" si="23"/>
        <v>-0.33481568012520968</v>
      </c>
      <c r="W32">
        <f t="shared" ca="1" si="23"/>
        <v>-0.27151075419311343</v>
      </c>
      <c r="X32">
        <f t="shared" ca="1" si="23"/>
        <v>-0.21141394790997028</v>
      </c>
      <c r="Y32">
        <f t="shared" ca="1" si="23"/>
        <v>-0.16035384397179489</v>
      </c>
      <c r="Z32">
        <f t="shared" ca="1" si="23"/>
        <v>-0.11952772501338092</v>
      </c>
      <c r="AA32">
        <f t="shared" ca="1" si="23"/>
        <v>-8.850542266086675E-2</v>
      </c>
      <c r="AB32">
        <f t="shared" ca="1" si="23"/>
        <v>-6.5269892965584872E-2</v>
      </c>
      <c r="AC32">
        <f t="shared" ca="1" si="23"/>
        <v>-4.7996901984726489E-2</v>
      </c>
      <c r="AD32">
        <f t="shared" ca="1" si="23"/>
        <v>-3.5214579921102544E-2</v>
      </c>
      <c r="AE32">
        <f t="shared" ca="1" si="23"/>
        <v>-2.5785821757981144E-2</v>
      </c>
      <c r="AF32">
        <f t="shared" ca="1" si="23"/>
        <v>-1.8848634045217676E-2</v>
      </c>
      <c r="AG32">
        <f t="shared" ca="1" si="23"/>
        <v>-1.3755843520281381E-2</v>
      </c>
      <c r="AH32">
        <f t="shared" ca="1" si="23"/>
        <v>-1.0024399650046386E-2</v>
      </c>
      <c r="AI32">
        <f ca="1">(AH32*sa-AH$7*AH19*AH$10)/oa-AH$7*AH$10*flt2_*sa/oa^2</f>
        <v>-2.65197087646106E-2</v>
      </c>
    </row>
    <row r="33" spans="1:35">
      <c r="A33" s="59" t="s">
        <v>130</v>
      </c>
      <c r="B33" s="60">
        <f ca="1">SUMPRODUCT(lz,wa)</f>
        <v>61.690464923247035</v>
      </c>
      <c r="C33" s="59"/>
      <c r="D33" s="61"/>
      <c r="E33" s="61"/>
      <c r="G33">
        <f ca="1">SUMPRODUCT(dlz3_,wa,ma)</f>
        <v>-150.13904915515457</v>
      </c>
      <c r="H33">
        <f ca="1">Ro/(reck-1)*phie/phif^2*dphif</f>
        <v>-18905.176068716613</v>
      </c>
      <c r="J33" s="8" t="s">
        <v>54</v>
      </c>
      <c r="K33">
        <v>0</v>
      </c>
      <c r="L33">
        <f t="shared" ref="L33:AH33" ca="1" si="24">K33*sa-K$7*K20*K$10</f>
        <v>-1.9370121335257782E-5</v>
      </c>
      <c r="M33">
        <f t="shared" ca="1" si="24"/>
        <v>-7.5822177921897342E-5</v>
      </c>
      <c r="N33">
        <f t="shared" ca="1" si="24"/>
        <v>-2.4194531068399738E-4</v>
      </c>
      <c r="O33">
        <f t="shared" ca="1" si="24"/>
        <v>-7.2756705372437058E-4</v>
      </c>
      <c r="P33">
        <f t="shared" ca="1" si="24"/>
        <v>-2.1655588621086515E-3</v>
      </c>
      <c r="Q33">
        <f t="shared" ca="1" si="24"/>
        <v>-1.364635379712531E-2</v>
      </c>
      <c r="R33">
        <f t="shared" ca="1" si="24"/>
        <v>-0.164100301711679</v>
      </c>
      <c r="S33">
        <f t="shared" ca="1" si="24"/>
        <v>-0.35813619580197487</v>
      </c>
      <c r="T33">
        <f t="shared" ca="1" si="24"/>
        <v>-0.48351799079644925</v>
      </c>
      <c r="U33">
        <f t="shared" ca="1" si="24"/>
        <v>-0.53327484198575881</v>
      </c>
      <c r="V33">
        <f t="shared" ca="1" si="24"/>
        <v>-0.52122621033927152</v>
      </c>
      <c r="W33">
        <f t="shared" ca="1" si="24"/>
        <v>-0.465369387483135</v>
      </c>
      <c r="X33">
        <f t="shared" ca="1" si="24"/>
        <v>-0.38846156458297837</v>
      </c>
      <c r="Y33">
        <f t="shared" ca="1" si="24"/>
        <v>-0.31018216321058772</v>
      </c>
      <c r="Z33">
        <f t="shared" ca="1" si="24"/>
        <v>-0.24034368382432739</v>
      </c>
      <c r="AA33">
        <f t="shared" ca="1" si="24"/>
        <v>-0.18408635000713311</v>
      </c>
      <c r="AB33">
        <f t="shared" ca="1" si="24"/>
        <v>-0.13985354405674738</v>
      </c>
      <c r="AC33">
        <f t="shared" ca="1" si="24"/>
        <v>-0.10558503615824356</v>
      </c>
      <c r="AD33">
        <f t="shared" ca="1" si="24"/>
        <v>-7.930494407357086E-2</v>
      </c>
      <c r="AE33">
        <f t="shared" ca="1" si="24"/>
        <v>-5.9306153314738673E-2</v>
      </c>
      <c r="AF33">
        <f t="shared" ca="1" si="24"/>
        <v>-4.4182171272249632E-2</v>
      </c>
      <c r="AG33">
        <f t="shared" ca="1" si="24"/>
        <v>-3.2804690184841626E-2</v>
      </c>
      <c r="AH33">
        <f t="shared" ca="1" si="24"/>
        <v>-2.4284260138212402E-2</v>
      </c>
      <c r="AI33">
        <f ca="1">(AH33*sa-AH$7*AH20*AH$10)/oa-AH$7*AH$10*flt3_*sa/oa^2</f>
        <v>-6.7122585399660525E-2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26.869533397878669</v>
      </c>
      <c r="F35" s="37"/>
      <c r="G35" s="1">
        <f ca="1">SUM(dqa11_)</f>
        <v>859.54393795741828</v>
      </c>
      <c r="H35" s="1">
        <f ca="1">SUM(dqa12_)</f>
        <v>864.88471470691206</v>
      </c>
      <c r="I35" s="11">
        <f ca="1">SUM(dqa13_)</f>
        <v>860.92330463267069</v>
      </c>
      <c r="J35" s="8" t="s">
        <v>62</v>
      </c>
      <c r="K35">
        <f ca="1">flt1_*qa1_+lz*wa*flt1_^2/za*(sa-oa/za)</f>
        <v>2.6182291001480123E-13</v>
      </c>
      <c r="L35">
        <f t="shared" ref="L35:AI35" ca="1" si="25">flt1_*qa1_+lz*wa*flt1_^2/za*(sa-oa/za)</f>
        <v>1.2850348088281224E-11</v>
      </c>
      <c r="M35">
        <f t="shared" ca="1" si="25"/>
        <v>2.8055718751020415E-10</v>
      </c>
      <c r="N35">
        <f t="shared" ca="1" si="25"/>
        <v>4.3152569729319663E-9</v>
      </c>
      <c r="O35">
        <f t="shared" ca="1" si="25"/>
        <v>5.5237889135976875E-8</v>
      </c>
      <c r="P35">
        <f t="shared" ca="1" si="25"/>
        <v>1.1821324876575657E-6</v>
      </c>
      <c r="Q35">
        <f t="shared" ca="1" si="25"/>
        <v>1.4971032507655552E-4</v>
      </c>
      <c r="R35">
        <f t="shared" ca="1" si="25"/>
        <v>2.0563978699254045E-3</v>
      </c>
      <c r="S35">
        <f t="shared" ca="1" si="25"/>
        <v>1.7690218305530723E-2</v>
      </c>
      <c r="T35">
        <f t="shared" ca="1" si="25"/>
        <v>0.13539071563088387</v>
      </c>
      <c r="U35">
        <f t="shared" ca="1" si="25"/>
        <v>0.87259875869058479</v>
      </c>
      <c r="V35">
        <f t="shared" ca="1" si="25"/>
        <v>4.1840620043160568</v>
      </c>
      <c r="W35">
        <f t="shared" ca="1" si="25"/>
        <v>13.136554358669327</v>
      </c>
      <c r="X35">
        <f t="shared" ca="1" si="25"/>
        <v>26.74295807751443</v>
      </c>
      <c r="Y35">
        <f t="shared" ca="1" si="25"/>
        <v>39.943204359096541</v>
      </c>
      <c r="Z35">
        <f t="shared" ca="1" si="25"/>
        <v>50.264757975926258</v>
      </c>
      <c r="AA35">
        <f t="shared" ca="1" si="25"/>
        <v>58.259581123239968</v>
      </c>
      <c r="AB35">
        <f t="shared" ca="1" si="25"/>
        <v>64.899341140993585</v>
      </c>
      <c r="AC35">
        <f t="shared" ca="1" si="25"/>
        <v>70.801822046139719</v>
      </c>
      <c r="AD35">
        <f t="shared" ca="1" si="25"/>
        <v>76.27041736600097</v>
      </c>
      <c r="AE35">
        <f t="shared" ca="1" si="25"/>
        <v>81.438342155970716</v>
      </c>
      <c r="AF35">
        <f t="shared" ca="1" si="25"/>
        <v>86.360035898642565</v>
      </c>
      <c r="AG35">
        <f t="shared" ca="1" si="25"/>
        <v>91.056366547997726</v>
      </c>
      <c r="AH35">
        <f t="shared" ca="1" si="25"/>
        <v>95.535024900280604</v>
      </c>
      <c r="AI35">
        <f t="shared" ca="1" si="25"/>
        <v>99.623582959828497</v>
      </c>
    </row>
    <row r="36" spans="1:35">
      <c r="A36" t="s">
        <v>33</v>
      </c>
      <c r="B36" s="1">
        <f ca="1">SUMPRODUCT(lz,ta1_)</f>
        <v>0.33620465584841697</v>
      </c>
      <c r="C36" s="29">
        <f ca="1">B11/(phi_t1/SUM(B$36:B$38))</f>
        <v>2.07263488155863</v>
      </c>
      <c r="E36" s="38">
        <f ca="1">C36/AVERAGE(C$36:C$38)</f>
        <v>1.6416400870868981</v>
      </c>
      <c r="G36" s="1">
        <f ca="1">SUM(dqa21_)</f>
        <v>864.88471470691206</v>
      </c>
      <c r="H36" s="1">
        <f ca="1">SUM(dqa22_)</f>
        <v>34.364754909184256</v>
      </c>
      <c r="I36" s="11">
        <f ca="1">SUM(dqa23_)</f>
        <v>862.67483709011867</v>
      </c>
      <c r="J36" s="8" t="s">
        <v>63</v>
      </c>
      <c r="K36">
        <f t="shared" ref="K36:AI36" ca="1" si="26">flt2_*qa2_+lz*wa*flt2_^2/za*(sa-oa/za)</f>
        <v>2.6107961918526781E-7</v>
      </c>
      <c r="L36">
        <f t="shared" ca="1" si="26"/>
        <v>3.2464748665628586E-4</v>
      </c>
      <c r="M36">
        <f t="shared" ca="1" si="26"/>
        <v>5.0644308313048669E-2</v>
      </c>
      <c r="N36">
        <f t="shared" ca="1" si="26"/>
        <v>0.3055517849844574</v>
      </c>
      <c r="O36">
        <f t="shared" ca="1" si="26"/>
        <v>0.54820376700976747</v>
      </c>
      <c r="P36">
        <f t="shared" ca="1" si="26"/>
        <v>0.77209553232351158</v>
      </c>
      <c r="Q36">
        <f t="shared" ca="1" si="26"/>
        <v>0.97966759105716528</v>
      </c>
      <c r="R36">
        <f t="shared" ca="1" si="26"/>
        <v>1.1601480525944503</v>
      </c>
      <c r="S36">
        <f t="shared" ca="1" si="26"/>
        <v>1.3069936855213418</v>
      </c>
      <c r="T36">
        <f t="shared" ca="1" si="26"/>
        <v>1.4091034712672126</v>
      </c>
      <c r="U36">
        <f t="shared" ca="1" si="26"/>
        <v>1.4614773257282159</v>
      </c>
      <c r="V36">
        <f t="shared" ca="1" si="26"/>
        <v>1.4647329754344161</v>
      </c>
      <c r="W36">
        <f t="shared" ca="1" si="26"/>
        <v>1.4289415568941606</v>
      </c>
      <c r="X36">
        <f t="shared" ca="1" si="26"/>
        <v>1.3709598299210732</v>
      </c>
      <c r="Y36">
        <f t="shared" ca="1" si="26"/>
        <v>1.3013105620544581</v>
      </c>
      <c r="Z36">
        <f t="shared" ca="1" si="26"/>
        <v>1.4505167622726618</v>
      </c>
      <c r="AA36">
        <f t="shared" ca="1" si="26"/>
        <v>1.6002981135406282</v>
      </c>
      <c r="AB36">
        <f t="shared" ca="1" si="26"/>
        <v>1.7481648419045321</v>
      </c>
      <c r="AC36">
        <f t="shared" ca="1" si="26"/>
        <v>1.8926015316824747</v>
      </c>
      <c r="AD36">
        <f t="shared" ca="1" si="26"/>
        <v>2.032710531455896</v>
      </c>
      <c r="AE36">
        <f t="shared" ca="1" si="26"/>
        <v>2.1679435191645688</v>
      </c>
      <c r="AF36">
        <f t="shared" ca="1" si="26"/>
        <v>2.2979563902671476</v>
      </c>
      <c r="AG36">
        <f t="shared" ca="1" si="26"/>
        <v>2.4225359469012093</v>
      </c>
      <c r="AH36">
        <f t="shared" ca="1" si="26"/>
        <v>2.5415617096451197</v>
      </c>
      <c r="AI36">
        <f t="shared" ca="1" si="26"/>
        <v>2.6503102106804555</v>
      </c>
    </row>
    <row r="37" spans="1:35">
      <c r="A37" t="s">
        <v>34</v>
      </c>
      <c r="B37" s="1">
        <f ca="1">SUMPRODUCT(lz,ta2_)</f>
        <v>1.1405295961203326</v>
      </c>
      <c r="C37" s="29">
        <f ca="1">B12/(phi_t2/SUM(B$36:B$38))</f>
        <v>1.308531203681865</v>
      </c>
      <c r="E37" s="38">
        <f ca="1">C37/AVERAGE(C$36:C$38)</f>
        <v>1.0364282191144116</v>
      </c>
      <c r="G37" s="1">
        <f ca="1">SUM(dqa31_)</f>
        <v>860.92330463267069</v>
      </c>
      <c r="H37" s="1">
        <f ca="1">SUM(dqa32_)</f>
        <v>862.67483709011867</v>
      </c>
      <c r="I37" s="1">
        <f ca="1">SUM(dqa33_)</f>
        <v>381.97068283666715</v>
      </c>
      <c r="J37" s="8" t="s">
        <v>64</v>
      </c>
      <c r="K37">
        <f t="shared" ref="K37:AI37" ca="1" si="27">flt3_*qa3_+lz*wa*flt3_^2/za*(sa-oa/za)</f>
        <v>1.6917811438122778E-11</v>
      </c>
      <c r="L37">
        <f t="shared" ca="1" si="27"/>
        <v>1.6185478549629231E-9</v>
      </c>
      <c r="M37">
        <f t="shared" ca="1" si="27"/>
        <v>6.8571659781847972E-8</v>
      </c>
      <c r="N37">
        <f t="shared" ca="1" si="27"/>
        <v>2.0119904291694721E-6</v>
      </c>
      <c r="O37">
        <f t="shared" ca="1" si="27"/>
        <v>4.8973101437388715E-5</v>
      </c>
      <c r="P37">
        <f t="shared" ca="1" si="27"/>
        <v>6.8204479739347968E-3</v>
      </c>
      <c r="Q37">
        <f t="shared" ca="1" si="27"/>
        <v>2.5204083970350637</v>
      </c>
      <c r="R37">
        <f t="shared" ca="1" si="27"/>
        <v>11.530436017405389</v>
      </c>
      <c r="S37">
        <f t="shared" ca="1" si="27"/>
        <v>17.358400573637343</v>
      </c>
      <c r="T37">
        <f t="shared" ca="1" si="27"/>
        <v>19.59561555504439</v>
      </c>
      <c r="U37">
        <f t="shared" ca="1" si="27"/>
        <v>19.935341910183208</v>
      </c>
      <c r="V37">
        <f t="shared" ca="1" si="27"/>
        <v>19.27129863622066</v>
      </c>
      <c r="W37">
        <f t="shared" ca="1" si="27"/>
        <v>18.057025832020003</v>
      </c>
      <c r="X37">
        <f t="shared" ca="1" si="27"/>
        <v>16.621614341704628</v>
      </c>
      <c r="Y37">
        <f t="shared" ca="1" si="27"/>
        <v>15.133178425087211</v>
      </c>
      <c r="Z37">
        <f t="shared" ca="1" si="27"/>
        <v>16.868324604540771</v>
      </c>
      <c r="AA37">
        <f t="shared" ca="1" si="27"/>
        <v>18.610159320698205</v>
      </c>
      <c r="AB37">
        <f t="shared" ca="1" si="27"/>
        <v>20.329728537082708</v>
      </c>
      <c r="AC37">
        <f t="shared" ca="1" si="27"/>
        <v>22.009409207688915</v>
      </c>
      <c r="AD37">
        <f t="shared" ca="1" si="27"/>
        <v>23.638762380066339</v>
      </c>
      <c r="AE37">
        <f t="shared" ca="1" si="27"/>
        <v>25.211411516735176</v>
      </c>
      <c r="AF37">
        <f t="shared" ca="1" si="27"/>
        <v>26.723354963076662</v>
      </c>
      <c r="AG37">
        <f t="shared" ca="1" si="27"/>
        <v>28.172113402172929</v>
      </c>
      <c r="AH37">
        <f t="shared" ca="1" si="27"/>
        <v>29.556285756804382</v>
      </c>
      <c r="AI37">
        <f t="shared" ca="1" si="27"/>
        <v>30.820941956190278</v>
      </c>
    </row>
    <row r="38" spans="1:35">
      <c r="A38" t="s">
        <v>35</v>
      </c>
      <c r="B38" s="1">
        <f ca="1">SUMPRODUCT(lz,ta3_)</f>
        <v>1.2004303794214635</v>
      </c>
      <c r="C38" s="29">
        <f ca="1">B13/(phi_t3/SUM(B$36:B$38))</f>
        <v>0.40645136732159859</v>
      </c>
      <c r="E38" s="38">
        <f ca="1">C38/AVERAGE(C$36:C$38)</f>
        <v>0.32193169379869047</v>
      </c>
      <c r="G38" t="s">
        <v>69</v>
      </c>
      <c r="J38" s="8" t="s">
        <v>60</v>
      </c>
      <c r="K38">
        <f t="shared" ref="K38:AI38" ca="1" si="28">flt1_*qa1_+lz*wa*flt2_*flt1_/za*(sa-oa/za)</f>
        <v>-2.4816995404760739E-10</v>
      </c>
      <c r="L38">
        <f t="shared" ca="1" si="28"/>
        <v>-4.6607237564050226E-8</v>
      </c>
      <c r="M38">
        <f t="shared" ca="1" si="28"/>
        <v>-2.1060331421534976E-6</v>
      </c>
      <c r="N38">
        <f t="shared" ca="1" si="28"/>
        <v>-1.5628833292409938E-5</v>
      </c>
      <c r="O38">
        <f t="shared" ca="1" si="28"/>
        <v>-5.7899677893427762E-5</v>
      </c>
      <c r="P38">
        <f t="shared" ca="1" si="28"/>
        <v>-2.4901189669223987E-4</v>
      </c>
      <c r="Q38">
        <f t="shared" ca="1" si="28"/>
        <v>-2.3461070596375701E-3</v>
      </c>
      <c r="R38">
        <f t="shared" ca="1" si="28"/>
        <v>-5.6796568264531264E-3</v>
      </c>
      <c r="S38">
        <f t="shared" ca="1" si="28"/>
        <v>1.3607798118434045E-4</v>
      </c>
      <c r="T38">
        <f t="shared" ca="1" si="28"/>
        <v>0.10418506721933647</v>
      </c>
      <c r="U38">
        <f t="shared" ca="1" si="28"/>
        <v>0.85156382940983466</v>
      </c>
      <c r="V38">
        <f t="shared" ca="1" si="28"/>
        <v>4.2934932211076147</v>
      </c>
      <c r="W38">
        <f t="shared" ca="1" si="28"/>
        <v>13.565759158487106</v>
      </c>
      <c r="X38">
        <f t="shared" ca="1" si="28"/>
        <v>27.485407818003512</v>
      </c>
      <c r="Y38">
        <f t="shared" ca="1" si="28"/>
        <v>40.785623180413666</v>
      </c>
      <c r="Z38">
        <f t="shared" ca="1" si="28"/>
        <v>51.024309450168211</v>
      </c>
      <c r="AA38">
        <f t="shared" ca="1" si="28"/>
        <v>58.881143844543899</v>
      </c>
      <c r="AB38">
        <f t="shared" ca="1" si="28"/>
        <v>65.385649858229527</v>
      </c>
      <c r="AC38">
        <f t="shared" ca="1" si="28"/>
        <v>71.173863742635575</v>
      </c>
      <c r="AD38">
        <f t="shared" ca="1" si="28"/>
        <v>76.551391702060783</v>
      </c>
      <c r="AE38">
        <f t="shared" ca="1" si="28"/>
        <v>81.648704080273617</v>
      </c>
      <c r="AF38">
        <f t="shared" ca="1" si="28"/>
        <v>86.516487393573442</v>
      </c>
      <c r="AG38">
        <f t="shared" ca="1" si="28"/>
        <v>91.172083946757297</v>
      </c>
      <c r="AH38">
        <f t="shared" ca="1" si="28"/>
        <v>95.620206566273751</v>
      </c>
      <c r="AI38">
        <f t="shared" ca="1" si="28"/>
        <v>99.833056226956231</v>
      </c>
    </row>
    <row r="39" spans="1:35">
      <c r="A39" s="1" t="s">
        <v>36</v>
      </c>
      <c r="B39" s="1">
        <f ca="1">SUMPRODUCT(lz,qa1_)</f>
        <v>18.794959324839976</v>
      </c>
      <c r="C39" s="23">
        <f ca="1">B4/(phi_q1/SUM(B$39:B$41))</f>
        <v>2.1264245809360616</v>
      </c>
      <c r="D39" s="21"/>
      <c r="E39" s="39">
        <f ca="1">C39/AVERAGE(C$39:C$41)</f>
        <v>1.7865718643886828</v>
      </c>
      <c r="G39" s="1">
        <f ca="1">re*phi_q1+f1_*phi_q1*$H31+f1_*re*G35</f>
        <v>1266916.2435110721</v>
      </c>
      <c r="H39" s="1">
        <f ca="1">re*phi_q1+f1_*phi_q1*$H32+f1_*re*H35</f>
        <v>1269277.1112149116</v>
      </c>
      <c r="I39" s="1">
        <f ca="1">re*phi_q1+f1_*phi_q1*$H33+f1_*re*I35</f>
        <v>1235459.5245415177</v>
      </c>
      <c r="J39" s="8" t="s">
        <v>66</v>
      </c>
      <c r="K39">
        <f t="shared" ref="K39:AI39" ca="1" si="29">flt1_*qa1_+lz*wa*flt3_*flt1_/za*(sa-oa/za)</f>
        <v>-1.4909757021898097E-12</v>
      </c>
      <c r="L39">
        <f t="shared" ca="1" si="29"/>
        <v>-8.198828656514803E-11</v>
      </c>
      <c r="M39">
        <f t="shared" ca="1" si="29"/>
        <v>-2.0137668257113021E-9</v>
      </c>
      <c r="N39">
        <f t="shared" ca="1" si="29"/>
        <v>-3.3947396385532082E-8</v>
      </c>
      <c r="O39">
        <f t="shared" ca="1" si="29"/>
        <v>-4.7430338109100817E-7</v>
      </c>
      <c r="P39">
        <f t="shared" ca="1" si="29"/>
        <v>-2.205219209657743E-5</v>
      </c>
      <c r="Q39">
        <f t="shared" ca="1" si="29"/>
        <v>-3.8723720679845982E-3</v>
      </c>
      <c r="R39">
        <f t="shared" ca="1" si="29"/>
        <v>-2.3064043329431266E-2</v>
      </c>
      <c r="S39">
        <f t="shared" ca="1" si="29"/>
        <v>-5.2394320313139404E-2</v>
      </c>
      <c r="T39">
        <f t="shared" ca="1" si="29"/>
        <v>-1.9236662676497041E-2</v>
      </c>
      <c r="U39">
        <f t="shared" ca="1" si="29"/>
        <v>0.60231726284141973</v>
      </c>
      <c r="V39">
        <f t="shared" ca="1" si="29"/>
        <v>3.8769014158621031</v>
      </c>
      <c r="W39">
        <f t="shared" ca="1" si="29"/>
        <v>13.026133820653516</v>
      </c>
      <c r="X39">
        <f t="shared" ca="1" si="29"/>
        <v>26.946067607988546</v>
      </c>
      <c r="Y39">
        <f t="shared" ca="1" si="29"/>
        <v>40.338433286665555</v>
      </c>
      <c r="Z39">
        <f t="shared" ca="1" si="29"/>
        <v>50.649691166116938</v>
      </c>
      <c r="AA39">
        <f t="shared" ca="1" si="29"/>
        <v>58.583536353169016</v>
      </c>
      <c r="AB39">
        <f t="shared" ca="1" si="29"/>
        <v>65.155512728381865</v>
      </c>
      <c r="AC39">
        <f t="shared" ca="1" si="29"/>
        <v>70.998606219098889</v>
      </c>
      <c r="AD39">
        <f t="shared" ca="1" si="29"/>
        <v>76.419268964525898</v>
      </c>
      <c r="AE39">
        <f t="shared" ca="1" si="29"/>
        <v>81.549853536746227</v>
      </c>
      <c r="AF39">
        <f t="shared" ca="1" si="29"/>
        <v>86.442988960236661</v>
      </c>
      <c r="AG39">
        <f t="shared" ca="1" si="29"/>
        <v>91.117726910424125</v>
      </c>
      <c r="AH39">
        <f t="shared" ca="1" si="29"/>
        <v>95.580194574789701</v>
      </c>
      <c r="AI39">
        <f t="shared" ca="1" si="29"/>
        <v>99.734661786097334</v>
      </c>
    </row>
    <row r="40" spans="1:35">
      <c r="A40" s="1" t="s">
        <v>37</v>
      </c>
      <c r="B40" s="1">
        <f ca="1">SUMPRODUCT(lz,qa2_)</f>
        <v>13.417925027857162</v>
      </c>
      <c r="C40" s="23">
        <f ca="1">B5/(phi_q2/SUM(B$39:B$41))</f>
        <v>1.1108325537588088</v>
      </c>
      <c r="D40" s="21"/>
      <c r="E40" s="39">
        <f ca="1">C40/AVERAGE(C$39:C$41)</f>
        <v>0.9332953561507904</v>
      </c>
      <c r="G40" s="1">
        <f ca="1">re*phi_q1+f1_*phi_q1*$H32+f1_*re*G36</f>
        <v>1269277.1112149116</v>
      </c>
      <c r="H40" s="1">
        <f ca="1">re*phi_q2+f2_*phi_q2*$H32+f2_*re*H36</f>
        <v>114892.1201342265</v>
      </c>
      <c r="I40" s="1">
        <f ca="1">re*phi_q3+f3_*phi_q3*$H33+f3_*re*I36</f>
        <v>425194.20834581158</v>
      </c>
      <c r="J40" s="8" t="s">
        <v>65</v>
      </c>
      <c r="K40">
        <f t="shared" ref="K40:AI40" ca="1" si="30">flt1_*qa1_+lz*wa*flt1_*flt2_/za*(sa-oa/za)</f>
        <v>-2.4816995404760729E-10</v>
      </c>
      <c r="L40">
        <f t="shared" ca="1" si="30"/>
        <v>-4.6607237564050226E-8</v>
      </c>
      <c r="M40">
        <f t="shared" ca="1" si="30"/>
        <v>-2.1060331421534976E-6</v>
      </c>
      <c r="N40">
        <f t="shared" ca="1" si="30"/>
        <v>-1.5628833292409938E-5</v>
      </c>
      <c r="O40">
        <f t="shared" ca="1" si="30"/>
        <v>-5.7899677893427762E-5</v>
      </c>
      <c r="P40">
        <f t="shared" ca="1" si="30"/>
        <v>-2.4901189669223987E-4</v>
      </c>
      <c r="Q40">
        <f t="shared" ca="1" si="30"/>
        <v>-2.3461070596375701E-3</v>
      </c>
      <c r="R40">
        <f t="shared" ca="1" si="30"/>
        <v>-5.6796568264531264E-3</v>
      </c>
      <c r="S40">
        <f t="shared" ca="1" si="30"/>
        <v>1.3607798118434045E-4</v>
      </c>
      <c r="T40">
        <f t="shared" ca="1" si="30"/>
        <v>0.10418506721933647</v>
      </c>
      <c r="U40">
        <f t="shared" ca="1" si="30"/>
        <v>0.85156382940983466</v>
      </c>
      <c r="V40">
        <f t="shared" ca="1" si="30"/>
        <v>4.2934932211076147</v>
      </c>
      <c r="W40">
        <f t="shared" ca="1" si="30"/>
        <v>13.565759158487106</v>
      </c>
      <c r="X40">
        <f t="shared" ca="1" si="30"/>
        <v>27.485407818003512</v>
      </c>
      <c r="Y40">
        <f t="shared" ca="1" si="30"/>
        <v>40.785623180413666</v>
      </c>
      <c r="Z40">
        <f t="shared" ca="1" si="30"/>
        <v>51.024309450168211</v>
      </c>
      <c r="AA40">
        <f t="shared" ca="1" si="30"/>
        <v>58.881143844543899</v>
      </c>
      <c r="AB40">
        <f t="shared" ca="1" si="30"/>
        <v>65.385649858229527</v>
      </c>
      <c r="AC40">
        <f t="shared" ca="1" si="30"/>
        <v>71.173863742635575</v>
      </c>
      <c r="AD40">
        <f t="shared" ca="1" si="30"/>
        <v>76.551391702060783</v>
      </c>
      <c r="AE40">
        <f t="shared" ca="1" si="30"/>
        <v>81.648704080273617</v>
      </c>
      <c r="AF40">
        <f t="shared" ca="1" si="30"/>
        <v>86.516487393573442</v>
      </c>
      <c r="AG40">
        <f t="shared" ca="1" si="30"/>
        <v>91.172083946757297</v>
      </c>
      <c r="AH40">
        <f t="shared" ca="1" si="30"/>
        <v>95.620206566273751</v>
      </c>
      <c r="AI40">
        <f t="shared" ca="1" si="30"/>
        <v>99.833056226956231</v>
      </c>
    </row>
    <row r="41" spans="1:35">
      <c r="A41" s="1" t="s">
        <v>38</v>
      </c>
      <c r="B41" s="1">
        <f ca="1">SUMPRODUCT(lz,qa3_)</f>
        <v>33.991859113776911</v>
      </c>
      <c r="C41" s="23">
        <f ca="1">B6/(phi_q3/SUM(B$39:B$41))</f>
        <v>0.33342136414682172</v>
      </c>
      <c r="D41" s="21"/>
      <c r="E41" s="39">
        <f ca="1">C41/AVERAGE(C$39:C$41)</f>
        <v>0.28013277946052695</v>
      </c>
      <c r="G41" s="1">
        <f ca="1">re*phi_q1+f1_*phi_q1*$H33+f1_*re*G37</f>
        <v>1235459.5245415177</v>
      </c>
      <c r="H41" s="1">
        <f ca="1">re*phi_q3+f3_*phi_q3*$H33+f3_*re*H37</f>
        <v>425194.20834581158</v>
      </c>
      <c r="I41" s="1">
        <f ca="1">re*phi_q3+f1_*phi_q3*$H33+f3_*re*I37</f>
        <v>230029.95656520367</v>
      </c>
      <c r="J41" s="8" t="s">
        <v>67</v>
      </c>
      <c r="K41">
        <f t="shared" ref="K41:AI41" ca="1" si="31">flt1_*qa1_+lz*wa*flt3_*flt2_/za*(sa-oa/za)</f>
        <v>-1.9984787820141834E-9</v>
      </c>
      <c r="L41">
        <f t="shared" ca="1" si="31"/>
        <v>-5.2329485372626669E-7</v>
      </c>
      <c r="M41">
        <f t="shared" ca="1" si="31"/>
        <v>-3.2931479432258285E-5</v>
      </c>
      <c r="N41">
        <f t="shared" ca="1" si="31"/>
        <v>-3.3759791160291666E-4</v>
      </c>
      <c r="O41">
        <f t="shared" ca="1" si="31"/>
        <v>-1.7261156830068556E-3</v>
      </c>
      <c r="P41">
        <f t="shared" ca="1" si="31"/>
        <v>-1.9026283815334475E-2</v>
      </c>
      <c r="Q41">
        <f t="shared" ca="1" si="31"/>
        <v>-0.32770632989015647</v>
      </c>
      <c r="R41">
        <f t="shared" ca="1" si="31"/>
        <v>-0.60234442968414681</v>
      </c>
      <c r="S41">
        <f t="shared" ca="1" si="31"/>
        <v>-0.6022741919726724</v>
      </c>
      <c r="T41">
        <f t="shared" ca="1" si="31"/>
        <v>-0.39465737069625872</v>
      </c>
      <c r="U41">
        <f t="shared" ca="1" si="31"/>
        <v>0.5017757061506265</v>
      </c>
      <c r="V41">
        <f t="shared" ca="1" si="31"/>
        <v>4.1117552545438585</v>
      </c>
      <c r="W41">
        <f t="shared" ca="1" si="31"/>
        <v>13.529341136096011</v>
      </c>
      <c r="X41">
        <f t="shared" ca="1" si="31"/>
        <v>27.53139512152784</v>
      </c>
      <c r="Y41">
        <f t="shared" ca="1" si="31"/>
        <v>40.856960658172838</v>
      </c>
      <c r="Z41">
        <f t="shared" ca="1" si="31"/>
        <v>51.089699992162004</v>
      </c>
      <c r="AA41">
        <f t="shared" ca="1" si="31"/>
        <v>58.934834877986702</v>
      </c>
      <c r="AB41">
        <f t="shared" ca="1" si="31"/>
        <v>65.427693662570746</v>
      </c>
      <c r="AC41">
        <f t="shared" ca="1" si="31"/>
        <v>71.206037185898765</v>
      </c>
      <c r="AD41">
        <f t="shared" ca="1" si="31"/>
        <v>76.575692090179331</v>
      </c>
      <c r="AE41">
        <f t="shared" ca="1" si="31"/>
        <v>81.666898102172681</v>
      </c>
      <c r="AF41">
        <f t="shared" ca="1" si="31"/>
        <v>86.530018923537796</v>
      </c>
      <c r="AG41">
        <f t="shared" ca="1" si="31"/>
        <v>91.182092420932193</v>
      </c>
      <c r="AH41">
        <f t="shared" ca="1" si="31"/>
        <v>95.627573995625212</v>
      </c>
      <c r="AI41">
        <f t="shared" ca="1" si="31"/>
        <v>99.851173738988052</v>
      </c>
    </row>
    <row r="42" spans="1:35">
      <c r="A42" s="1" t="s">
        <v>96</v>
      </c>
      <c r="B42" s="1">
        <f ca="1">SUMPRODUCT(lz/SUM(lz),len,ta1_)</f>
        <v>7.6293666146904995</v>
      </c>
      <c r="J42" s="8" t="s">
        <v>68</v>
      </c>
      <c r="K42">
        <f t="shared" ref="K42:AI42" ca="1" si="32">flt1_*qa1_+lz*wa*flt1_*flt3_/za*(sa-oa/za)</f>
        <v>-1.4909757021898097E-12</v>
      </c>
      <c r="L42">
        <f t="shared" ca="1" si="32"/>
        <v>-8.198828656514803E-11</v>
      </c>
      <c r="M42">
        <f t="shared" ca="1" si="32"/>
        <v>-2.0137668257113021E-9</v>
      </c>
      <c r="N42">
        <f t="shared" ca="1" si="32"/>
        <v>-3.3947396385532082E-8</v>
      </c>
      <c r="O42">
        <f t="shared" ca="1" si="32"/>
        <v>-4.7430338109100817E-7</v>
      </c>
      <c r="P42">
        <f t="shared" ca="1" si="32"/>
        <v>-2.205219209657743E-5</v>
      </c>
      <c r="Q42">
        <f t="shared" ca="1" si="32"/>
        <v>-3.8723720679845965E-3</v>
      </c>
      <c r="R42">
        <f t="shared" ca="1" si="32"/>
        <v>-2.3064043329431266E-2</v>
      </c>
      <c r="S42">
        <f t="shared" ca="1" si="32"/>
        <v>-5.2394320313139404E-2</v>
      </c>
      <c r="T42">
        <f t="shared" ca="1" si="32"/>
        <v>-1.9236662676497041E-2</v>
      </c>
      <c r="U42">
        <f t="shared" ca="1" si="32"/>
        <v>0.60231726284141973</v>
      </c>
      <c r="V42">
        <f t="shared" ca="1" si="32"/>
        <v>3.8769014158621031</v>
      </c>
      <c r="W42">
        <f t="shared" ca="1" si="32"/>
        <v>13.026133820653516</v>
      </c>
      <c r="X42">
        <f t="shared" ca="1" si="32"/>
        <v>26.946067607988546</v>
      </c>
      <c r="Y42">
        <f t="shared" ca="1" si="32"/>
        <v>40.338433286665555</v>
      </c>
      <c r="Z42">
        <f t="shared" ca="1" si="32"/>
        <v>50.649691166116938</v>
      </c>
      <c r="AA42">
        <f t="shared" ca="1" si="32"/>
        <v>58.583536353169016</v>
      </c>
      <c r="AB42">
        <f t="shared" ca="1" si="32"/>
        <v>65.155512728381865</v>
      </c>
      <c r="AC42">
        <f t="shared" ca="1" si="32"/>
        <v>70.998606219098889</v>
      </c>
      <c r="AD42">
        <f t="shared" ca="1" si="32"/>
        <v>76.419268964525898</v>
      </c>
      <c r="AE42">
        <f t="shared" ca="1" si="32"/>
        <v>81.549853536746227</v>
      </c>
      <c r="AF42">
        <f t="shared" ca="1" si="32"/>
        <v>86.442988960236661</v>
      </c>
      <c r="AG42">
        <f t="shared" ca="1" si="32"/>
        <v>91.117726910424125</v>
      </c>
      <c r="AH42">
        <f t="shared" ca="1" si="32"/>
        <v>95.580194574789701</v>
      </c>
      <c r="AI42">
        <f t="shared" ca="1" si="32"/>
        <v>99.734661786097334</v>
      </c>
    </row>
    <row r="43" spans="1:35">
      <c r="A43" s="1"/>
      <c r="B43" s="1"/>
      <c r="J43" s="8" t="s">
        <v>61</v>
      </c>
      <c r="K43">
        <f t="shared" ref="K43:AI43" ca="1" si="33">flt1_*qa1_+lz*wa*flt2_*flt3_/za*(sa-oa/za)</f>
        <v>-1.9984787820141834E-9</v>
      </c>
      <c r="L43">
        <f t="shared" ca="1" si="33"/>
        <v>-5.2329485372626659E-7</v>
      </c>
      <c r="M43">
        <f t="shared" ca="1" si="33"/>
        <v>-3.2931479432258291E-5</v>
      </c>
      <c r="N43">
        <f t="shared" ca="1" si="33"/>
        <v>-3.3759791160291666E-4</v>
      </c>
      <c r="O43">
        <f t="shared" ca="1" si="33"/>
        <v>-1.7261156830068556E-3</v>
      </c>
      <c r="P43">
        <f t="shared" ca="1" si="33"/>
        <v>-1.9026283815334475E-2</v>
      </c>
      <c r="Q43">
        <f t="shared" ca="1" si="33"/>
        <v>-0.32770632989015652</v>
      </c>
      <c r="R43">
        <f t="shared" ca="1" si="33"/>
        <v>-0.60234442968414681</v>
      </c>
      <c r="S43">
        <f t="shared" ca="1" si="33"/>
        <v>-0.6022741919726724</v>
      </c>
      <c r="T43">
        <f t="shared" ca="1" si="33"/>
        <v>-0.39465737069625884</v>
      </c>
      <c r="U43">
        <f t="shared" ca="1" si="33"/>
        <v>0.5017757061506265</v>
      </c>
      <c r="V43">
        <f t="shared" ca="1" si="33"/>
        <v>4.1117552545438585</v>
      </c>
      <c r="W43">
        <f t="shared" ca="1" si="33"/>
        <v>13.529341136096011</v>
      </c>
      <c r="X43">
        <f t="shared" ca="1" si="33"/>
        <v>27.53139512152784</v>
      </c>
      <c r="Y43">
        <f t="shared" ca="1" si="33"/>
        <v>40.856960658172838</v>
      </c>
      <c r="Z43">
        <f t="shared" ca="1" si="33"/>
        <v>51.089699992162004</v>
      </c>
      <c r="AA43">
        <f t="shared" ca="1" si="33"/>
        <v>58.934834877986702</v>
      </c>
      <c r="AB43">
        <f t="shared" ca="1" si="33"/>
        <v>65.427693662570746</v>
      </c>
      <c r="AC43">
        <f t="shared" ca="1" si="33"/>
        <v>71.206037185898765</v>
      </c>
      <c r="AD43">
        <f t="shared" ca="1" si="33"/>
        <v>76.575692090179331</v>
      </c>
      <c r="AE43">
        <f t="shared" ca="1" si="33"/>
        <v>81.666898102172681</v>
      </c>
      <c r="AF43">
        <f t="shared" ca="1" si="33"/>
        <v>86.530018923537796</v>
      </c>
      <c r="AG43">
        <f t="shared" ca="1" si="33"/>
        <v>91.182092420932193</v>
      </c>
      <c r="AH43">
        <f t="shared" ca="1" si="33"/>
        <v>95.627573995625212</v>
      </c>
      <c r="AI43">
        <f t="shared" ca="1" si="33"/>
        <v>99.851173738988052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0.27290683177643071</v>
      </c>
      <c r="G46" s="32" t="s">
        <v>94</v>
      </c>
      <c r="H46" s="32"/>
      <c r="I46" s="32"/>
      <c r="J46" s="8" t="s">
        <v>75</v>
      </c>
      <c r="K46">
        <f t="shared" ref="K46:AI46" ca="1" si="34">lz*qa1_</f>
        <v>1.8242344983307848E-7</v>
      </c>
      <c r="L46">
        <f t="shared" ca="1" si="34"/>
        <v>2.6502263782652698E-6</v>
      </c>
      <c r="M46">
        <f t="shared" ca="1" si="34"/>
        <v>1.7516443751785215E-5</v>
      </c>
      <c r="N46">
        <f t="shared" ca="1" si="34"/>
        <v>8.1108827719951929E-5</v>
      </c>
      <c r="O46">
        <f t="shared" ca="1" si="34"/>
        <v>3.10680990778532E-4</v>
      </c>
      <c r="P46">
        <f t="shared" ca="1" si="34"/>
        <v>1.4609303774837936E-3</v>
      </c>
      <c r="Q46">
        <f t="shared" ca="1" si="34"/>
        <v>1.6089345477833101E-2</v>
      </c>
      <c r="R46">
        <f t="shared" ca="1" si="34"/>
        <v>5.6139202835703991E-2</v>
      </c>
      <c r="S46">
        <f t="shared" ca="1" si="34"/>
        <v>0.15056631790803701</v>
      </c>
      <c r="T46">
        <f t="shared" ca="1" si="34"/>
        <v>0.37384218393612628</v>
      </c>
      <c r="U46">
        <f t="shared" ca="1" si="34"/>
        <v>0.83564377892761432</v>
      </c>
      <c r="V46">
        <f t="shared" ca="1" si="34"/>
        <v>1.5678198675138106</v>
      </c>
      <c r="W46">
        <f t="shared" ca="1" si="34"/>
        <v>2.2905369870409067</v>
      </c>
      <c r="X46">
        <f t="shared" ca="1" si="34"/>
        <v>2.5822197974108927</v>
      </c>
      <c r="Y46">
        <f t="shared" ca="1" si="34"/>
        <v>2.4103403813697617</v>
      </c>
      <c r="Z46">
        <f t="shared" ca="1" si="34"/>
        <v>2.0226711217126145</v>
      </c>
      <c r="AA46">
        <f t="shared" ca="1" si="34"/>
        <v>1.6080469792765</v>
      </c>
      <c r="AB46">
        <f t="shared" ca="1" si="34"/>
        <v>1.2438558858893758</v>
      </c>
      <c r="AC46">
        <f t="shared" ca="1" si="34"/>
        <v>0.94735062888124932</v>
      </c>
      <c r="AD46">
        <f t="shared" ca="1" si="34"/>
        <v>0.7142190565049219</v>
      </c>
      <c r="AE46">
        <f t="shared" ca="1" si="34"/>
        <v>0.53436817552880345</v>
      </c>
      <c r="AF46">
        <f t="shared" ca="1" si="34"/>
        <v>0.39732191004826556</v>
      </c>
      <c r="AG46">
        <f t="shared" ca="1" si="34"/>
        <v>0.29384699888354177</v>
      </c>
      <c r="AH46">
        <f t="shared" ca="1" si="34"/>
        <v>0.21629973734054744</v>
      </c>
      <c r="AI46">
        <f t="shared" ca="1" si="34"/>
        <v>0.53190789906390201</v>
      </c>
    </row>
    <row r="47" spans="1:35" ht="19" thickTop="1">
      <c r="A47" s="1" t="s">
        <v>41</v>
      </c>
      <c r="B47" s="11">
        <f ca="1">MAX(0,Ro*(reck-1/spr)/(reck-1))</f>
        <v>7696.7266154068238</v>
      </c>
      <c r="F47" t="s">
        <v>84</v>
      </c>
      <c r="G47" s="31">
        <f ca="1">G39/G53</f>
        <v>0.99999999999999978</v>
      </c>
      <c r="H47" s="31">
        <f ca="1">H53/H39</f>
        <v>0.30058176170201373</v>
      </c>
      <c r="I47" s="31">
        <f ca="1">I53/I39</f>
        <v>0.43695592140600825</v>
      </c>
      <c r="J47" s="8" t="s">
        <v>76</v>
      </c>
      <c r="K47">
        <f t="shared" ref="K47:AI47" ca="1" si="35">lz*qa2_</f>
        <v>1.8216432421141278E-4</v>
      </c>
      <c r="L47">
        <f t="shared" ca="1" si="35"/>
        <v>1.3320838065226359E-2</v>
      </c>
      <c r="M47">
        <f t="shared" ca="1" si="35"/>
        <v>0.23534260764944831</v>
      </c>
      <c r="N47">
        <f t="shared" ca="1" si="35"/>
        <v>0.68250715022777775</v>
      </c>
      <c r="O47">
        <f t="shared" ca="1" si="35"/>
        <v>0.97873958167431407</v>
      </c>
      <c r="P47">
        <f t="shared" ca="1" si="35"/>
        <v>1.1806793372780569</v>
      </c>
      <c r="Q47">
        <f t="shared" ca="1" si="35"/>
        <v>1.3015230714557338</v>
      </c>
      <c r="R47">
        <f t="shared" ca="1" si="35"/>
        <v>1.3334274045009664</v>
      </c>
      <c r="S47">
        <f t="shared" ca="1" si="35"/>
        <v>1.2941898171071942</v>
      </c>
      <c r="T47">
        <f t="shared" ca="1" si="35"/>
        <v>1.2060499794523505</v>
      </c>
      <c r="U47">
        <f t="shared" ca="1" si="35"/>
        <v>1.0814586778350692</v>
      </c>
      <c r="V47">
        <f t="shared" ca="1" si="35"/>
        <v>0.92763331420343298</v>
      </c>
      <c r="W47">
        <f t="shared" ca="1" si="35"/>
        <v>0.75544666581632447</v>
      </c>
      <c r="X47">
        <f t="shared" ca="1" si="35"/>
        <v>0.58465659052465957</v>
      </c>
      <c r="Y47">
        <f t="shared" ca="1" si="35"/>
        <v>0.43505824435883694</v>
      </c>
      <c r="Z47">
        <f t="shared" ca="1" si="35"/>
        <v>0.34360134250432656</v>
      </c>
      <c r="AA47">
        <f t="shared" ca="1" si="35"/>
        <v>0.26651122181559128</v>
      </c>
      <c r="AB47">
        <f t="shared" ca="1" si="35"/>
        <v>0.204146111706524</v>
      </c>
      <c r="AC47">
        <f t="shared" ca="1" si="35"/>
        <v>0.15488812565723403</v>
      </c>
      <c r="AD47">
        <f t="shared" ca="1" si="35"/>
        <v>0.11659801068121689</v>
      </c>
      <c r="AE47">
        <f t="shared" ca="1" si="35"/>
        <v>8.7186672966631074E-2</v>
      </c>
      <c r="AF47">
        <f t="shared" ca="1" si="35"/>
        <v>6.4812235112173239E-2</v>
      </c>
      <c r="AG47">
        <f t="shared" ca="1" si="35"/>
        <v>4.7929314355460211E-2</v>
      </c>
      <c r="AH47">
        <f t="shared" ca="1" si="35"/>
        <v>3.5279710356897781E-2</v>
      </c>
      <c r="AI47">
        <f t="shared" ca="1" si="35"/>
        <v>8.6756838227504379E-2</v>
      </c>
    </row>
    <row r="48" spans="1:35">
      <c r="A48" s="1" t="s">
        <v>43</v>
      </c>
      <c r="B48" s="1">
        <f ca="1">f1_*re*phi_q1</f>
        <v>25162.735380090944</v>
      </c>
      <c r="C48" s="20">
        <f ca="1">ye_1/SUM(ye_1,ye_2,ye_3)</f>
        <v>0.60367371601208453</v>
      </c>
      <c r="F48" t="s">
        <v>85</v>
      </c>
      <c r="G48" s="31">
        <f ca="1">G40/G54</f>
        <v>3.3268818252231989</v>
      </c>
      <c r="H48" s="31">
        <f t="shared" ref="H48:I49" ca="1" si="36">H40/H54</f>
        <v>1</v>
      </c>
      <c r="I48" s="31">
        <f ca="1">I54/I40</f>
        <v>0.38234021520196737</v>
      </c>
      <c r="J48" s="8" t="s">
        <v>77</v>
      </c>
      <c r="K48">
        <f t="shared" ref="K48:AI48" ca="1" si="37">lz*qa3_</f>
        <v>1.4663881141266718E-6</v>
      </c>
      <c r="L48">
        <f t="shared" ca="1" si="37"/>
        <v>2.9743241583957106E-5</v>
      </c>
      <c r="M48">
        <f t="shared" ca="1" si="37"/>
        <v>2.7384673673506223E-4</v>
      </c>
      <c r="N48">
        <f t="shared" ca="1" si="37"/>
        <v>1.7513693630431459E-3</v>
      </c>
      <c r="O48">
        <f t="shared" ca="1" si="37"/>
        <v>9.2507074906640306E-3</v>
      </c>
      <c r="P48">
        <f t="shared" ca="1" si="37"/>
        <v>0.11096931197811798</v>
      </c>
      <c r="Q48">
        <f t="shared" ca="1" si="37"/>
        <v>2.0876032264082287</v>
      </c>
      <c r="R48">
        <f t="shared" ca="1" si="37"/>
        <v>4.2037369673117801</v>
      </c>
      <c r="S48">
        <f t="shared" ca="1" si="37"/>
        <v>4.7164592533586571</v>
      </c>
      <c r="T48">
        <f t="shared" ca="1" si="37"/>
        <v>4.4975222283482461</v>
      </c>
      <c r="U48">
        <f t="shared" ca="1" si="37"/>
        <v>3.9941625308551187</v>
      </c>
      <c r="V48">
        <f t="shared" ca="1" si="37"/>
        <v>3.3647484241036572</v>
      </c>
      <c r="W48">
        <f t="shared" ca="1" si="37"/>
        <v>2.6854661659420893</v>
      </c>
      <c r="X48">
        <f t="shared" ca="1" si="37"/>
        <v>2.0357530092674105</v>
      </c>
      <c r="Y48">
        <f t="shared" ca="1" si="37"/>
        <v>1.483617686076161</v>
      </c>
      <c r="Z48">
        <f t="shared" ca="1" si="37"/>
        <v>1.1717351304311097</v>
      </c>
      <c r="AA48">
        <f t="shared" ca="1" si="37"/>
        <v>0.90884557952946321</v>
      </c>
      <c r="AB48">
        <f t="shared" ca="1" si="37"/>
        <v>0.69617065254753985</v>
      </c>
      <c r="AC48">
        <f t="shared" ca="1" si="37"/>
        <v>0.52819309958582006</v>
      </c>
      <c r="AD48">
        <f t="shared" ca="1" si="37"/>
        <v>0.39761772831793646</v>
      </c>
      <c r="AE48">
        <f t="shared" ca="1" si="37"/>
        <v>0.29732039716673569</v>
      </c>
      <c r="AF48">
        <f t="shared" ca="1" si="37"/>
        <v>0.22102001176476138</v>
      </c>
      <c r="AG48">
        <f t="shared" ca="1" si="37"/>
        <v>0.16344657153678513</v>
      </c>
      <c r="AH48">
        <f t="shared" ca="1" si="37"/>
        <v>0.12030941356432819</v>
      </c>
      <c r="AI48">
        <f t="shared" ca="1" si="37"/>
        <v>0.29585459246282048</v>
      </c>
    </row>
    <row r="49" spans="1:47">
      <c r="A49" s="1" t="s">
        <v>44</v>
      </c>
      <c r="B49" s="1">
        <f ca="1">f2_*re*phi_q2</f>
        <v>9384.268729853351</v>
      </c>
      <c r="C49" s="20">
        <f ca="1">ye_2/SUM(ye_1,ye_2,ye_3)</f>
        <v>0.22513595166163139</v>
      </c>
      <c r="F49" t="s">
        <v>86</v>
      </c>
      <c r="G49" s="31">
        <f ca="1">G41/G55</f>
        <v>2.2885603581758667</v>
      </c>
      <c r="H49" s="31">
        <f t="shared" ca="1" si="36"/>
        <v>2.6154716669596478</v>
      </c>
      <c r="I49" s="31">
        <f t="shared" ca="1" si="36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7135.6710052121625</v>
      </c>
      <c r="C50" s="20">
        <f ca="1">ye_3/SUM(ye_1,ye_2,ye_3)</f>
        <v>0.171190332326284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41682.67511515646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1125.573739703922</v>
      </c>
      <c r="H52" s="57">
        <f ca="1">H40^0.5</f>
        <v>338.95740165133805</v>
      </c>
      <c r="I52" s="11">
        <f ca="1">I41^0.5</f>
        <v>479.61438319258491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3.2692775302323671</v>
      </c>
      <c r="C53">
        <f ca="1">AVERAGE(B53:B55)/B53</f>
        <v>0.55217466736063847</v>
      </c>
      <c r="G53">
        <f ca="1">G$52*$J53</f>
        <v>1266916.2435110724</v>
      </c>
      <c r="H53">
        <f t="shared" ref="H53:I53" ca="1" si="38">H$52*$J53</f>
        <v>381521.55017702089</v>
      </c>
      <c r="I53">
        <f t="shared" ca="1" si="38"/>
        <v>539841.35490586772</v>
      </c>
      <c r="J53">
        <f t="array" aca="1" ref="J53:J55" ca="1">TRANSPOSE(G52:I52)</f>
        <v>1125.573739703922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1.2192545219247506</v>
      </c>
      <c r="C54">
        <f ca="1">AVERAGE(B53:B55)/B54</f>
        <v>1.4805868670602973</v>
      </c>
      <c r="G54">
        <f t="shared" ref="G54:I55" ca="1" si="39">G$52*$J54</f>
        <v>381521.55017702089</v>
      </c>
      <c r="H54">
        <f t="shared" ca="1" si="39"/>
        <v>114892.1201342265</v>
      </c>
      <c r="I54">
        <f ca="1">I$52*$J54</f>
        <v>162568.84512156775</v>
      </c>
      <c r="J54">
        <f ca="1"/>
        <v>338.95740165133805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0.92710464613988297</v>
      </c>
      <c r="C55">
        <f ca="1">AVERAGE(B53:B55)/B55</f>
        <v>1.9471504541390183</v>
      </c>
      <c r="G55">
        <f t="shared" ca="1" si="39"/>
        <v>539841.35490586772</v>
      </c>
      <c r="H55">
        <f t="shared" ca="1" si="39"/>
        <v>162568.84512156775</v>
      </c>
      <c r="I55">
        <f t="shared" ca="1" si="39"/>
        <v>230029.95656520367</v>
      </c>
      <c r="J55">
        <f ca="1"/>
        <v>479.61438319258491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5.8480910116792385E-2</v>
      </c>
      <c r="C56">
        <f ca="1">AVERAGE(B56:B58)/B56</f>
        <v>1.1106701418525742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0.10363717672976167</v>
      </c>
      <c r="C57">
        <f ca="1">AVERAGE(B56:B58)/B57</f>
        <v>0.62673456364459967</v>
      </c>
      <c r="G57">
        <f t="array" aca="1" ref="G57:I59" ca="1">MMULT($G$52:$I$52,TRANSPOSE($G$52:$I$52))</f>
        <v>1611838.3202105025</v>
      </c>
      <c r="H57">
        <f ca="1"/>
        <v>1611838.3202105025</v>
      </c>
      <c r="I57">
        <f ca="1"/>
        <v>1611838.3202105025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3.2740915358702244E-2</v>
      </c>
      <c r="C58">
        <f ca="1">AVERAGE(B56:B58)/B58</f>
        <v>1.9838480391728419</v>
      </c>
      <c r="G58">
        <f ca="1"/>
        <v>1611838.3202105025</v>
      </c>
      <c r="H58">
        <f ca="1"/>
        <v>1611838.3202105025</v>
      </c>
      <c r="I58">
        <f ca="1"/>
        <v>1611838.3202105025</v>
      </c>
      <c r="AL58" s="31"/>
      <c r="AM58" s="31"/>
      <c r="AN58" s="31"/>
      <c r="AO58" s="31"/>
      <c r="AP58" s="31"/>
    </row>
    <row r="59" spans="1:47">
      <c r="G59">
        <f ca="1"/>
        <v>1611838.3202105025</v>
      </c>
      <c r="H59">
        <f ca="1"/>
        <v>1611838.3202105025</v>
      </c>
      <c r="I59">
        <f ca="1"/>
        <v>1611838.3202105025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55.903328517002969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11.764644313922295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28.31639360056764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0.55689535185944739</v>
      </c>
      <c r="E4" s="47">
        <v>24977</v>
      </c>
      <c r="F4" s="47">
        <f ca="1">ye_1</f>
        <v>22652.798061534271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0.24694396682543113</v>
      </c>
      <c r="E5" s="47">
        <v>9315</v>
      </c>
      <c r="F5" s="47">
        <f ca="1">ye_2</f>
        <v>10044.924588313945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0.19616068131512138</v>
      </c>
      <c r="E6" s="47">
        <v>7083</v>
      </c>
      <c r="F6" s="47">
        <f ca="1">ye_3</f>
        <v>7979.2159992133011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0.26744988882645071</v>
      </c>
      <c r="J7" t="s">
        <v>7</v>
      </c>
      <c r="K7" s="1">
        <f>1</f>
        <v>1</v>
      </c>
      <c r="L7" s="1">
        <f ca="1">K7*EXP(-K8)</f>
        <v>0.86046581391554133</v>
      </c>
      <c r="M7" s="1">
        <f t="shared" ref="M7:AH7" ca="1" si="3">L7*EXP(-L8)</f>
        <v>0.73793182457313711</v>
      </c>
      <c r="N7" s="1">
        <f t="shared" ca="1" si="3"/>
        <v>0.61956899706512703</v>
      </c>
      <c r="O7" s="1">
        <f t="shared" ca="1" si="3"/>
        <v>0.51240384010223783</v>
      </c>
      <c r="P7" s="1">
        <f t="shared" ca="1" si="3"/>
        <v>0.42427832060200166</v>
      </c>
      <c r="Q7" s="1">
        <f t="shared" ca="1" si="3"/>
        <v>0.3520672570038344</v>
      </c>
      <c r="R7" s="1">
        <f t="shared" ca="1" si="3"/>
        <v>0.28835862571040022</v>
      </c>
      <c r="S7" s="1">
        <f t="shared" ca="1" si="3"/>
        <v>0.23338560456205404</v>
      </c>
      <c r="T7" s="1">
        <f t="shared" ca="1" si="3"/>
        <v>0.18843512334263363</v>
      </c>
      <c r="U7" s="1">
        <f t="shared" ca="1" si="3"/>
        <v>0.15165839879714199</v>
      </c>
      <c r="V7" s="1">
        <f t="shared" ca="1" si="3"/>
        <v>0.12069081107441548</v>
      </c>
      <c r="W7" s="1">
        <f t="shared" ca="1" si="3"/>
        <v>9.3754939992326411E-2</v>
      </c>
      <c r="X7" s="1">
        <f t="shared" ca="1" si="3"/>
        <v>7.0482075108976305E-2</v>
      </c>
      <c r="Y7" s="1">
        <f t="shared" ca="1" si="3"/>
        <v>5.1528813068482546E-2</v>
      </c>
      <c r="Z7" s="1">
        <f t="shared" ca="1" si="3"/>
        <v>3.7090840822314099E-2</v>
      </c>
      <c r="AA7" s="1">
        <f t="shared" ca="1" si="3"/>
        <v>2.6457542637930331E-2</v>
      </c>
      <c r="AB7" s="1">
        <f t="shared" ca="1" si="3"/>
        <v>1.8800218368224583E-2</v>
      </c>
      <c r="AC7" s="1">
        <f t="shared" ca="1" si="3"/>
        <v>1.3338382568461211E-2</v>
      </c>
      <c r="AD7" s="1">
        <f t="shared" ca="1" si="3"/>
        <v>9.4575335120417481E-3</v>
      </c>
      <c r="AE7" s="1">
        <f t="shared" ca="1" si="3"/>
        <v>6.7042307104260715E-3</v>
      </c>
      <c r="AF7" s="1">
        <f t="shared" ca="1" si="3"/>
        <v>4.7520382795364653E-3</v>
      </c>
      <c r="AG7" s="1">
        <f t="shared" ca="1" si="3"/>
        <v>3.368182986835673E-3</v>
      </c>
      <c r="AH7" s="1">
        <f t="shared" ca="1" si="3"/>
        <v>2.3872939122656913E-3</v>
      </c>
      <c r="AI7" s="1">
        <f ca="1">AH7*EXP(-AH8)/(1-EXP(-AI8))</f>
        <v>5.8101210819576019E-3</v>
      </c>
    </row>
    <row r="8" spans="1:35">
      <c r="A8" s="5"/>
      <c r="B8" s="26"/>
      <c r="C8" s="26"/>
      <c r="E8" t="s">
        <v>111</v>
      </c>
      <c r="F8">
        <f ca="1">SUMXMY2(E4:E6,F4:F6)</f>
        <v>6737907.6726390282</v>
      </c>
      <c r="J8" t="s">
        <v>11</v>
      </c>
      <c r="K8" s="1">
        <f ca="1">M+f1_*flt1_ +f2_*flt2_ +f3_*flt3_</f>
        <v>0.15028139228295642</v>
      </c>
      <c r="L8" s="1">
        <f t="shared" ref="L8:AI8" ca="1" si="4">M+f1_*flt1_ +f2_*flt2_ +f3_*flt3_</f>
        <v>0.15362244499306174</v>
      </c>
      <c r="M8" s="1">
        <f t="shared" ca="1" si="4"/>
        <v>0.17482737143091009</v>
      </c>
      <c r="N8" s="1">
        <f t="shared" ca="1" si="4"/>
        <v>0.18991100593598553</v>
      </c>
      <c r="O8" s="1">
        <f t="shared" ca="1" si="4"/>
        <v>0.18872340794019746</v>
      </c>
      <c r="P8" s="1">
        <f t="shared" ca="1" si="4"/>
        <v>0.18656742801905324</v>
      </c>
      <c r="Q8" s="1">
        <f t="shared" ca="1" si="4"/>
        <v>0.1996172947364877</v>
      </c>
      <c r="R8" s="1">
        <f t="shared" ca="1" si="4"/>
        <v>0.21151289280516256</v>
      </c>
      <c r="S8" s="1">
        <f t="shared" ca="1" si="4"/>
        <v>0.21393826644009056</v>
      </c>
      <c r="T8" s="1">
        <f t="shared" ca="1" si="4"/>
        <v>0.21712315902673934</v>
      </c>
      <c r="U8" s="1">
        <f t="shared" ca="1" si="4"/>
        <v>0.22839862045259693</v>
      </c>
      <c r="V8" s="1">
        <f t="shared" ca="1" si="4"/>
        <v>0.25254763820513421</v>
      </c>
      <c r="W8" s="1">
        <f t="shared" ca="1" si="4"/>
        <v>0.28532593299689463</v>
      </c>
      <c r="X8" s="1">
        <f t="shared" ca="1" si="4"/>
        <v>0.31321729543820165</v>
      </c>
      <c r="Y8" s="1">
        <f t="shared" ca="1" si="4"/>
        <v>0.32877106724943284</v>
      </c>
      <c r="Z8" s="1">
        <f t="shared" ca="1" si="4"/>
        <v>0.33782877748170309</v>
      </c>
      <c r="AA8" s="1">
        <f t="shared" ca="1" si="4"/>
        <v>0.34167279844798842</v>
      </c>
      <c r="AB8" s="1">
        <f t="shared" ca="1" si="4"/>
        <v>0.34322269870508182</v>
      </c>
      <c r="AC8" s="1">
        <f t="shared" ca="1" si="4"/>
        <v>0.34383416544013617</v>
      </c>
      <c r="AD8" s="1">
        <f t="shared" ca="1" si="4"/>
        <v>0.34407284452031267</v>
      </c>
      <c r="AE8" s="1">
        <f t="shared" ca="1" si="4"/>
        <v>0.34416513894810102</v>
      </c>
      <c r="AF8" s="1">
        <f t="shared" ca="1" si="4"/>
        <v>0.34420021157348818</v>
      </c>
      <c r="AG8" s="1">
        <f t="shared" ca="1" si="4"/>
        <v>0.34421295573528005</v>
      </c>
      <c r="AH8" s="1">
        <f t="shared" ca="1" si="4"/>
        <v>0.34421699314696791</v>
      </c>
      <c r="AI8" s="1">
        <f t="shared" ca="1" si="4"/>
        <v>0.34421763637185848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0.86046581391554133</v>
      </c>
      <c r="L10" s="1">
        <f t="shared" ca="1" si="5"/>
        <v>0.85759574946410189</v>
      </c>
      <c r="M10" s="1">
        <f t="shared" ca="1" si="5"/>
        <v>0.83960194754240602</v>
      </c>
      <c r="N10" s="1">
        <f t="shared" ca="1" si="5"/>
        <v>0.82703273167229774</v>
      </c>
      <c r="O10" s="1">
        <f t="shared" ca="1" si="5"/>
        <v>0.82801549753676151</v>
      </c>
      <c r="P10" s="1">
        <f t="shared" ca="1" si="5"/>
        <v>0.82980260811886841</v>
      </c>
      <c r="Q10" s="1">
        <f t="shared" ca="1" si="5"/>
        <v>0.81904414561124517</v>
      </c>
      <c r="R10" s="1">
        <f t="shared" ca="1" si="5"/>
        <v>0.80935884607954889</v>
      </c>
      <c r="S10" s="1">
        <f t="shared" ca="1" si="5"/>
        <v>0.80739822705102315</v>
      </c>
      <c r="T10" s="1">
        <f t="shared" ca="1" si="5"/>
        <v>0.80483084101778557</v>
      </c>
      <c r="U10" s="1">
        <f t="shared" ca="1" si="5"/>
        <v>0.79580697166565306</v>
      </c>
      <c r="V10" s="1">
        <f t="shared" ca="1" si="5"/>
        <v>0.77681920568517049</v>
      </c>
      <c r="W10" s="1">
        <f t="shared" ca="1" si="5"/>
        <v>0.75176918799953441</v>
      </c>
      <c r="X10" s="1">
        <f t="shared" ca="1" si="5"/>
        <v>0.73109103256127106</v>
      </c>
      <c r="Y10" s="1">
        <f t="shared" ca="1" si="5"/>
        <v>0.71980778546208368</v>
      </c>
      <c r="Z10" s="1">
        <f t="shared" ca="1" si="5"/>
        <v>0.71331741344653732</v>
      </c>
      <c r="AA10" s="1">
        <f t="shared" ca="1" si="5"/>
        <v>0.71058066977361767</v>
      </c>
      <c r="AB10" s="1">
        <f t="shared" ca="1" si="5"/>
        <v>0.70948019364526316</v>
      </c>
      <c r="AC10" s="1">
        <f t="shared" ca="1" si="5"/>
        <v>0.70904650271497061</v>
      </c>
      <c r="AD10" s="1">
        <f t="shared" ca="1" si="5"/>
        <v>0.70887728834266883</v>
      </c>
      <c r="AE10" s="1">
        <f t="shared" ca="1" si="5"/>
        <v>0.70881186593807732</v>
      </c>
      <c r="AF10" s="1">
        <f t="shared" ca="1" si="5"/>
        <v>0.70878700648097903</v>
      </c>
      <c r="AG10" s="1">
        <f t="shared" ca="1" si="5"/>
        <v>0.70877797364225059</v>
      </c>
      <c r="AH10" s="1">
        <f t="shared" ca="1" si="5"/>
        <v>0.70877511201955246</v>
      </c>
      <c r="AI10" s="1">
        <f t="shared" ca="1" si="5"/>
        <v>0.70877465611790524</v>
      </c>
    </row>
    <row r="11" spans="1:35">
      <c r="A11" s="5">
        <v>1</v>
      </c>
      <c r="B11" s="25">
        <f>'Status Quo'!B11</f>
        <v>0.26028638242243257</v>
      </c>
      <c r="C11" s="18">
        <f ca="1">mpr1_/SUM(mpr1_,mpr2_,mpr3_)</f>
        <v>0.26028638242243257</v>
      </c>
      <c r="J11" t="s">
        <v>56</v>
      </c>
      <c r="K11" s="1">
        <f ca="1">1-sa</f>
        <v>0.13953418608445867</v>
      </c>
      <c r="L11" s="1">
        <f t="shared" ref="L11:AI11" ca="1" si="6">1-sa</f>
        <v>0.14240425053589811</v>
      </c>
      <c r="M11" s="1">
        <f t="shared" ca="1" si="6"/>
        <v>0.16039805245759398</v>
      </c>
      <c r="N11" s="1">
        <f t="shared" ca="1" si="6"/>
        <v>0.17296726832770226</v>
      </c>
      <c r="O11" s="1">
        <f t="shared" ca="1" si="6"/>
        <v>0.17198450246323849</v>
      </c>
      <c r="P11" s="1">
        <f t="shared" ca="1" si="6"/>
        <v>0.17019739188113159</v>
      </c>
      <c r="Q11" s="1">
        <f t="shared" ca="1" si="6"/>
        <v>0.18095585438875483</v>
      </c>
      <c r="R11" s="1">
        <f t="shared" ca="1" si="6"/>
        <v>0.19064115392045111</v>
      </c>
      <c r="S11" s="1">
        <f t="shared" ca="1" si="6"/>
        <v>0.19260177294897685</v>
      </c>
      <c r="T11" s="1">
        <f t="shared" ca="1" si="6"/>
        <v>0.19516915898221443</v>
      </c>
      <c r="U11" s="1">
        <f t="shared" ca="1" si="6"/>
        <v>0.20419302833434694</v>
      </c>
      <c r="V11" s="1">
        <f t="shared" ca="1" si="6"/>
        <v>0.22318079431482951</v>
      </c>
      <c r="W11" s="1">
        <f t="shared" ca="1" si="6"/>
        <v>0.24823081200046559</v>
      </c>
      <c r="X11" s="1">
        <f t="shared" ca="1" si="6"/>
        <v>0.26890896743872894</v>
      </c>
      <c r="Y11" s="1">
        <f t="shared" ca="1" si="6"/>
        <v>0.28019221453791632</v>
      </c>
      <c r="Z11" s="1">
        <f t="shared" ca="1" si="6"/>
        <v>0.28668258655346268</v>
      </c>
      <c r="AA11" s="1">
        <f t="shared" ca="1" si="6"/>
        <v>0.28941933022638233</v>
      </c>
      <c r="AB11" s="1">
        <f t="shared" ca="1" si="6"/>
        <v>0.29051980635473684</v>
      </c>
      <c r="AC11" s="1">
        <f t="shared" ca="1" si="6"/>
        <v>0.29095349728502939</v>
      </c>
      <c r="AD11" s="1">
        <f t="shared" ca="1" si="6"/>
        <v>0.29112271165733117</v>
      </c>
      <c r="AE11" s="1">
        <f t="shared" ca="1" si="6"/>
        <v>0.29118813406192268</v>
      </c>
      <c r="AF11" s="1">
        <f t="shared" ca="1" si="6"/>
        <v>0.29121299351902097</v>
      </c>
      <c r="AG11" s="1">
        <f t="shared" ca="1" si="6"/>
        <v>0.29122202635774941</v>
      </c>
      <c r="AH11" s="1">
        <f t="shared" ca="1" si="6"/>
        <v>0.29122488798044754</v>
      </c>
      <c r="AI11" s="1">
        <f t="shared" ca="1" si="6"/>
        <v>0.29122534388209476</v>
      </c>
    </row>
    <row r="12" spans="1:35">
      <c r="A12" s="5">
        <v>2</v>
      </c>
      <c r="B12" s="25">
        <f>'Status Quo'!B12</f>
        <v>0.55746237931999676</v>
      </c>
      <c r="C12" s="18">
        <f ca="1">mpr2_/SUM(mpr1_,mpr2_,mpr3_)</f>
        <v>0.55746237931999654</v>
      </c>
      <c r="J12" t="s">
        <v>100</v>
      </c>
      <c r="K12">
        <f>1/(1+EXP(($E18-len)/2.5))</f>
        <v>5.6126934388498569E-12</v>
      </c>
      <c r="L12">
        <f t="shared" ref="L12:AI12" si="7">1/(1+EXP(($E18-len)/2.5))</f>
        <v>1.2978976454834829E-9</v>
      </c>
      <c r="M12">
        <f t="shared" si="7"/>
        <v>1.99637952261423E-7</v>
      </c>
      <c r="N12">
        <f t="shared" si="7"/>
        <v>2.1058746277498515E-5</v>
      </c>
      <c r="O12">
        <f t="shared" si="7"/>
        <v>1.564676467664138E-3</v>
      </c>
      <c r="P12">
        <f t="shared" si="7"/>
        <v>7.7870643543285392E-2</v>
      </c>
      <c r="Q12">
        <f t="shared" si="7"/>
        <v>0.77146898694811417</v>
      </c>
      <c r="R12">
        <f>1/(1+EXP(($E18-len)/2.5))</f>
        <v>0.99032644321048724</v>
      </c>
      <c r="S12">
        <f t="shared" si="7"/>
        <v>0.99958428557508638</v>
      </c>
      <c r="T12">
        <f t="shared" si="7"/>
        <v>0.99997757111253649</v>
      </c>
      <c r="U12">
        <f t="shared" si="7"/>
        <v>0.99999849463304669</v>
      </c>
      <c r="V12">
        <f t="shared" si="7"/>
        <v>0.99999987630899723</v>
      </c>
      <c r="W12">
        <f t="shared" si="7"/>
        <v>0.99999998774476839</v>
      </c>
      <c r="X12">
        <f t="shared" si="7"/>
        <v>0.9999999985562078</v>
      </c>
      <c r="Y12">
        <f t="shared" si="7"/>
        <v>0.99999999980035637</v>
      </c>
      <c r="Z12">
        <f t="shared" si="7"/>
        <v>0.99999999996798428</v>
      </c>
      <c r="AA12">
        <f t="shared" si="7"/>
        <v>0.99999999999411138</v>
      </c>
      <c r="AB12">
        <f t="shared" si="7"/>
        <v>0.99999999999877054</v>
      </c>
      <c r="AC12">
        <f t="shared" si="7"/>
        <v>0.99999999999971134</v>
      </c>
      <c r="AD12">
        <f t="shared" si="7"/>
        <v>0.9999999999999245</v>
      </c>
      <c r="AE12">
        <f t="shared" si="7"/>
        <v>0.99999999999997824</v>
      </c>
      <c r="AF12">
        <f t="shared" si="7"/>
        <v>0.99999999999999312</v>
      </c>
      <c r="AG12">
        <f t="shared" si="7"/>
        <v>0.99999999999999756</v>
      </c>
      <c r="AH12">
        <f t="shared" si="7"/>
        <v>0.99999999999999911</v>
      </c>
      <c r="AI12">
        <f t="shared" si="7"/>
        <v>0.99999999999999956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0.18225123825757075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0.26744988882645071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1.7569531972120283E-2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2.8003936236140991E-6</v>
      </c>
      <c r="L18" s="4">
        <f t="shared" ref="K18:O20" si="11">((EXP(g*(ah-age)/gh)/(1+EXP((ah-age)/gh))) *(1/(1-g))*((1-g)/g)^g) *(sr+(1-sr)*dmr)</f>
        <v>7.1844380013164611E-6</v>
      </c>
      <c r="M18" s="4">
        <f t="shared" si="11"/>
        <v>1.8430976549083743E-5</v>
      </c>
      <c r="N18" s="4">
        <f t="shared" si="11"/>
        <v>4.7282803581427317E-5</v>
      </c>
      <c r="O18" s="4">
        <f t="shared" si="11"/>
        <v>1.2223426423525944E-4</v>
      </c>
      <c r="P18" s="4">
        <f t="shared" ref="P18:AI18" si="12">((EXP(g*(ah-age)/gh)/(1+EXP((ah-age)/gh))) *(1/(1-g))*((1-g)/g)^g) *(sr_1+(1-sr_1)*dmr)</f>
        <v>4.3768996698402487E-4</v>
      </c>
      <c r="Q18" s="4">
        <f t="shared" si="12"/>
        <v>4.0131745713037487E-3</v>
      </c>
      <c r="R18" s="4">
        <f t="shared" si="12"/>
        <v>1.2541150244253106E-2</v>
      </c>
      <c r="S18" s="4">
        <f t="shared" si="12"/>
        <v>3.1798242599123998E-2</v>
      </c>
      <c r="T18" s="4">
        <f t="shared" si="12"/>
        <v>7.7737150420918499E-2</v>
      </c>
      <c r="U18" s="4">
        <f t="shared" si="12"/>
        <v>0.17780713941703752</v>
      </c>
      <c r="V18" s="4">
        <f t="shared" si="12"/>
        <v>0.35685360493485607</v>
      </c>
      <c r="W18" s="4">
        <f t="shared" si="12"/>
        <v>0.58740289618622155</v>
      </c>
      <c r="X18" s="4">
        <f t="shared" si="12"/>
        <v>0.78510412883741709</v>
      </c>
      <c r="Y18" s="4">
        <f t="shared" si="12"/>
        <v>0.90364572740855598</v>
      </c>
      <c r="Z18" s="4">
        <f t="shared" si="12"/>
        <v>0.96014681956456516</v>
      </c>
      <c r="AA18" s="4">
        <f t="shared" si="12"/>
        <v>0.98412543858595092</v>
      </c>
      <c r="AB18" s="4">
        <f t="shared" si="12"/>
        <v>0.99379356165602495</v>
      </c>
      <c r="AC18" s="4">
        <f t="shared" si="12"/>
        <v>0.9976078301037562</v>
      </c>
      <c r="AD18" s="4">
        <f t="shared" si="12"/>
        <v>0.99909668637746618</v>
      </c>
      <c r="AE18" s="4">
        <f t="shared" si="12"/>
        <v>0.99967240980383243</v>
      </c>
      <c r="AF18" s="4">
        <f t="shared" si="12"/>
        <v>0.99989118933953602</v>
      </c>
      <c r="AG18" s="4">
        <f t="shared" si="12"/>
        <v>0.99997068614848539</v>
      </c>
      <c r="AH18" s="4">
        <f t="shared" si="12"/>
        <v>0.99999587111952071</v>
      </c>
      <c r="AI18" s="4">
        <f t="shared" si="12"/>
        <v>0.99999988349217195</v>
      </c>
    </row>
    <row r="19" spans="1:39">
      <c r="A19" t="s">
        <v>21</v>
      </c>
      <c r="B19">
        <v>12</v>
      </c>
      <c r="E19">
        <v>200</v>
      </c>
      <c r="F19" s="31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104</v>
      </c>
      <c r="K19" s="4">
        <f t="shared" si="11"/>
        <v>2.7964157702224891E-3</v>
      </c>
      <c r="L19" s="4">
        <f t="shared" si="11"/>
        <v>3.6111154877206453E-2</v>
      </c>
      <c r="M19" s="4">
        <f t="shared" si="11"/>
        <v>0.24762983537369712</v>
      </c>
      <c r="N19" s="4">
        <f t="shared" si="11"/>
        <v>0.39787101397350638</v>
      </c>
      <c r="O19" s="4">
        <f t="shared" si="11"/>
        <v>0.38507509694781172</v>
      </c>
      <c r="P19" s="4">
        <f t="shared" ref="P19:Y19" si="13">((EXP(g*(ah-age)/gh)/(1+EXP((ah-age)/gh))) *(1/(1-g))*((1-g)/g)^g) *(sr_2+(1-sr_2)*dmr)</f>
        <v>0.35372767115843323</v>
      </c>
      <c r="Q19" s="4">
        <f t="shared" si="13"/>
        <v>0.32463963817095953</v>
      </c>
      <c r="R19" s="4">
        <f t="shared" si="13"/>
        <v>0.29787942426955161</v>
      </c>
      <c r="S19" s="4">
        <f t="shared" si="13"/>
        <v>0.27332116734651052</v>
      </c>
      <c r="T19" s="4">
        <f t="shared" si="13"/>
        <v>0.25078734475789327</v>
      </c>
      <c r="U19" s="4">
        <f t="shared" si="13"/>
        <v>0.23011129712513781</v>
      </c>
      <c r="V19" s="4">
        <f t="shared" si="13"/>
        <v>0.21113987588133884</v>
      </c>
      <c r="W19" s="4">
        <f t="shared" si="13"/>
        <v>0.1937325447811285</v>
      </c>
      <c r="X19" s="4">
        <f t="shared" si="13"/>
        <v>0.17776035317874878</v>
      </c>
      <c r="Y19" s="4">
        <f t="shared" si="13"/>
        <v>0.1631049816562902</v>
      </c>
      <c r="Z19" s="4">
        <f>Y19</f>
        <v>0.1631049816562902</v>
      </c>
      <c r="AA19" s="4">
        <f t="shared" ref="AA19:AI20" si="14">Z19</f>
        <v>0.1631049816562902</v>
      </c>
      <c r="AB19" s="4">
        <f t="shared" si="14"/>
        <v>0.1631049816562902</v>
      </c>
      <c r="AC19" s="4">
        <f t="shared" si="14"/>
        <v>0.1631049816562902</v>
      </c>
      <c r="AD19" s="4">
        <f t="shared" si="14"/>
        <v>0.1631049816562902</v>
      </c>
      <c r="AE19" s="4">
        <f t="shared" si="14"/>
        <v>0.1631049816562902</v>
      </c>
      <c r="AF19" s="4">
        <f t="shared" si="14"/>
        <v>0.1631049816562902</v>
      </c>
      <c r="AG19" s="4">
        <f t="shared" si="14"/>
        <v>0.1631049816562902</v>
      </c>
      <c r="AH19" s="4">
        <f t="shared" si="14"/>
        <v>0.1631049816562902</v>
      </c>
      <c r="AI19" s="4">
        <f t="shared" si="14"/>
        <v>0.1631049816562902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1"/>
        <v>2.2510614333307156E-5</v>
      </c>
      <c r="L20" s="4">
        <f t="shared" si="11"/>
        <v>8.0630272519583498E-5</v>
      </c>
      <c r="M20" s="4">
        <f t="shared" si="11"/>
        <v>2.8814426343204755E-4</v>
      </c>
      <c r="N20" s="4">
        <f t="shared" si="11"/>
        <v>1.0209696764107985E-3</v>
      </c>
      <c r="O20" s="4">
        <f t="shared" si="11"/>
        <v>3.6395964263644795E-3</v>
      </c>
      <c r="P20" s="4">
        <f t="shared" ref="P20:Y20" si="15">((EXP(g*(ah-age)/gh)/(1+EXP((ah-age)/gh))) *(1/(1-g))*((1-g)/g)^g) *(sr_3+(1-sr_3)*dmr)</f>
        <v>3.3246043236910654E-2</v>
      </c>
      <c r="Q20" s="4">
        <f t="shared" si="15"/>
        <v>0.52071205722667446</v>
      </c>
      <c r="R20" s="4">
        <f t="shared" si="15"/>
        <v>0.93908880481731272</v>
      </c>
      <c r="S20" s="4">
        <f t="shared" si="15"/>
        <v>0.99607347533585666</v>
      </c>
      <c r="T20" s="4">
        <f t="shared" si="15"/>
        <v>0.9352196649008131</v>
      </c>
      <c r="U20" s="4">
        <f t="shared" si="15"/>
        <v>0.84987243594328499</v>
      </c>
      <c r="V20" s="4">
        <f t="shared" si="15"/>
        <v>0.7658549491047888</v>
      </c>
      <c r="W20" s="4">
        <f t="shared" si="15"/>
        <v>0.68868156786342249</v>
      </c>
      <c r="X20" s="4">
        <f t="shared" si="15"/>
        <v>0.61895509223172329</v>
      </c>
      <c r="Y20" s="4">
        <f t="shared" si="15"/>
        <v>0.55621388310667164</v>
      </c>
      <c r="Z20" s="4">
        <f>Y20</f>
        <v>0.55621388310667164</v>
      </c>
      <c r="AA20" s="4">
        <f t="shared" si="14"/>
        <v>0.55621388310667164</v>
      </c>
      <c r="AB20" s="4">
        <f t="shared" si="14"/>
        <v>0.55621388310667164</v>
      </c>
      <c r="AC20" s="4">
        <f t="shared" si="14"/>
        <v>0.55621388310667164</v>
      </c>
      <c r="AD20" s="4">
        <f t="shared" si="14"/>
        <v>0.55621388310667164</v>
      </c>
      <c r="AE20" s="4">
        <f t="shared" si="14"/>
        <v>0.55621388310667164</v>
      </c>
      <c r="AF20" s="4">
        <f t="shared" si="14"/>
        <v>0.55621388310667164</v>
      </c>
      <c r="AG20" s="4">
        <f t="shared" si="14"/>
        <v>0.55621388310667164</v>
      </c>
      <c r="AH20" s="4">
        <f t="shared" si="14"/>
        <v>0.55621388310667164</v>
      </c>
      <c r="AI20" s="4">
        <f t="shared" si="14"/>
        <v>0.55621388310667164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6">wa*flt1_*(1-EXP(-za))/za</f>
        <v>1.8242112102753051E-7</v>
      </c>
      <c r="L22" s="1">
        <f t="shared" ca="1" si="16"/>
        <v>3.0794030145601669E-6</v>
      </c>
      <c r="M22" s="1">
        <f t="shared" ca="1" si="16"/>
        <v>2.3701922515676258E-5</v>
      </c>
      <c r="N22" s="1">
        <f t="shared" ca="1" si="16"/>
        <v>1.3032638902883548E-4</v>
      </c>
      <c r="O22" s="1">
        <f t="shared" ca="1" si="16"/>
        <v>6.0139928182807386E-4</v>
      </c>
      <c r="P22" s="1">
        <f t="shared" ca="1" si="16"/>
        <v>3.4033457797500552E-3</v>
      </c>
      <c r="Q22" s="1">
        <f t="shared" ca="1" si="16"/>
        <v>4.4975270975555488E-2</v>
      </c>
      <c r="R22" s="1">
        <f t="shared" ca="1" si="16"/>
        <v>0.19047148369486006</v>
      </c>
      <c r="S22" s="1">
        <f t="shared" ca="1" si="16"/>
        <v>0.62706760883942247</v>
      </c>
      <c r="T22" s="1">
        <f t="shared" ca="1" si="16"/>
        <v>1.9170647303132939</v>
      </c>
      <c r="U22" s="1">
        <f t="shared" ca="1" si="16"/>
        <v>5.3010935336373217</v>
      </c>
      <c r="V22" s="1">
        <f t="shared" ca="1" si="16"/>
        <v>12.473474868648214</v>
      </c>
      <c r="W22" s="1">
        <f t="shared" ca="1" si="16"/>
        <v>23.490226736106191</v>
      </c>
      <c r="X22" s="1">
        <f t="shared" ca="1" si="16"/>
        <v>35.392216969726583</v>
      </c>
      <c r="Y22" s="1">
        <f t="shared" ca="1" si="16"/>
        <v>45.520185282413983</v>
      </c>
      <c r="Z22" s="1">
        <f t="shared" ca="1" si="16"/>
        <v>53.535175247165789</v>
      </c>
      <c r="AA22" s="1">
        <f t="shared" ca="1" si="16"/>
        <v>60.225435458086451</v>
      </c>
      <c r="AB22" s="1">
        <f t="shared" ca="1" si="16"/>
        <v>66.189758854885255</v>
      </c>
      <c r="AC22" s="1">
        <f t="shared" ca="1" si="16"/>
        <v>71.743962650037503</v>
      </c>
      <c r="AD22" s="1">
        <f t="shared" ca="1" si="16"/>
        <v>77.026775217494176</v>
      </c>
      <c r="AE22" s="1">
        <f t="shared" ca="1" si="16"/>
        <v>82.091183579958411</v>
      </c>
      <c r="AF22" s="1">
        <f t="shared" ca="1" si="16"/>
        <v>86.953408902118071</v>
      </c>
      <c r="AG22" s="1">
        <f t="shared" ca="1" si="16"/>
        <v>91.61565080882049</v>
      </c>
      <c r="AH22" s="1">
        <f t="shared" ca="1" si="16"/>
        <v>96.0759249310033</v>
      </c>
      <c r="AI22" s="1">
        <f t="shared" ca="1" si="16"/>
        <v>100.33205258474807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7">wa*flt2_*(1-EXP(-za))/za</f>
        <v>1.8216199871384515E-4</v>
      </c>
      <c r="L23" s="1">
        <f t="shared" ca="1" si="17"/>
        <v>1.5478009437584738E-2</v>
      </c>
      <c r="M23" s="1">
        <f t="shared" ca="1" si="17"/>
        <v>0.31844775858546776</v>
      </c>
      <c r="N23" s="1">
        <f t="shared" ca="1" si="17"/>
        <v>1.0966585866912579</v>
      </c>
      <c r="O23" s="1">
        <f t="shared" ca="1" si="17"/>
        <v>1.8945905896612552</v>
      </c>
      <c r="P23" s="1">
        <f t="shared" ca="1" si="17"/>
        <v>2.7504801746159471</v>
      </c>
      <c r="Q23" s="1">
        <f t="shared" ca="1" si="17"/>
        <v>3.6382059730339331</v>
      </c>
      <c r="R23" s="1">
        <f t="shared" ca="1" si="17"/>
        <v>4.524109415624916</v>
      </c>
      <c r="S23" s="1">
        <f t="shared" ca="1" si="17"/>
        <v>5.3899472689065391</v>
      </c>
      <c r="T23" s="1">
        <f t="shared" ca="1" si="17"/>
        <v>6.184630782593036</v>
      </c>
      <c r="U23" s="1">
        <f t="shared" ca="1" si="17"/>
        <v>6.8604754185144898</v>
      </c>
      <c r="V23" s="1">
        <f t="shared" ca="1" si="17"/>
        <v>7.3801914823199217</v>
      </c>
      <c r="W23" s="1">
        <f t="shared" ca="1" si="17"/>
        <v>7.7473594914466153</v>
      </c>
      <c r="X23" s="1">
        <f t="shared" ca="1" si="17"/>
        <v>8.0133739681559373</v>
      </c>
      <c r="Y23" s="1">
        <f t="shared" ca="1" si="17"/>
        <v>8.2162386876668876</v>
      </c>
      <c r="Z23" s="1">
        <f t="shared" ca="1" si="17"/>
        <v>9.094290163472321</v>
      </c>
      <c r="AA23" s="1">
        <f t="shared" ca="1" si="17"/>
        <v>9.9815208107491262</v>
      </c>
      <c r="AB23" s="1">
        <f t="shared" ca="1" si="17"/>
        <v>10.86330181679828</v>
      </c>
      <c r="AC23" s="1">
        <f t="shared" ca="1" si="17"/>
        <v>11.729857524040176</v>
      </c>
      <c r="AD23" s="1">
        <f t="shared" ca="1" si="17"/>
        <v>12.574809755845802</v>
      </c>
      <c r="AE23" s="1">
        <f t="shared" ca="1" si="17"/>
        <v>13.393868692024533</v>
      </c>
      <c r="AF23" s="1">
        <f t="shared" ca="1" si="17"/>
        <v>14.184077542777368</v>
      </c>
      <c r="AG23" s="1">
        <f t="shared" ca="1" si="17"/>
        <v>14.943407093418415</v>
      </c>
      <c r="AH23" s="1">
        <f t="shared" ca="1" si="17"/>
        <v>15.670526675214095</v>
      </c>
      <c r="AI23" s="1">
        <f t="shared" ca="1" si="17"/>
        <v>16.364659502984214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8">wa*flt3_*(1-EXP(-za))/za</f>
        <v>1.4663693943141764E-6</v>
      </c>
      <c r="L24" s="1">
        <f t="shared" ca="1" si="18"/>
        <v>3.4559850640525607E-5</v>
      </c>
      <c r="M24" s="1">
        <f t="shared" ca="1" si="18"/>
        <v>3.7054862432357212E-4</v>
      </c>
      <c r="N24" s="1">
        <f t="shared" ca="1" si="18"/>
        <v>2.8141159397498941E-3</v>
      </c>
      <c r="O24" s="1">
        <f t="shared" ca="1" si="18"/>
        <v>1.790701396743247E-2</v>
      </c>
      <c r="P24" s="1">
        <f t="shared" ca="1" si="18"/>
        <v>0.25851125106520317</v>
      </c>
      <c r="Q24" s="1">
        <f t="shared" ca="1" si="18"/>
        <v>5.8355711813454763</v>
      </c>
      <c r="R24" s="1">
        <f t="shared" ca="1" si="18"/>
        <v>14.262618220107212</v>
      </c>
      <c r="S24" s="1">
        <f t="shared" ca="1" si="18"/>
        <v>19.642765176728233</v>
      </c>
      <c r="T24" s="1">
        <f t="shared" ca="1" si="18"/>
        <v>23.063318181448498</v>
      </c>
      <c r="U24" s="1">
        <f t="shared" ca="1" si="18"/>
        <v>25.337864887577474</v>
      </c>
      <c r="V24" s="1">
        <f t="shared" ca="1" si="18"/>
        <v>26.769723854778839</v>
      </c>
      <c r="W24" s="1">
        <f t="shared" ca="1" si="18"/>
        <v>27.540358216007654</v>
      </c>
      <c r="X24" s="1">
        <f t="shared" ca="1" si="18"/>
        <v>27.90227705364509</v>
      </c>
      <c r="Y24" s="1">
        <f t="shared" ca="1" si="18"/>
        <v>28.018678391005601</v>
      </c>
      <c r="Z24" s="1">
        <f t="shared" ca="1" si="18"/>
        <v>31.012973328939825</v>
      </c>
      <c r="AA24" s="1">
        <f t="shared" ca="1" si="18"/>
        <v>34.03857069893926</v>
      </c>
      <c r="AB24" s="1">
        <f t="shared" ca="1" si="18"/>
        <v>37.045583927130217</v>
      </c>
      <c r="AC24" s="1">
        <f t="shared" ca="1" si="18"/>
        <v>40.000676469116193</v>
      </c>
      <c r="AD24" s="1">
        <f t="shared" ca="1" si="18"/>
        <v>42.882097729949471</v>
      </c>
      <c r="AE24" s="1">
        <f t="shared" ca="1" si="18"/>
        <v>45.675218741698899</v>
      </c>
      <c r="AF24" s="1">
        <f t="shared" ca="1" si="18"/>
        <v>48.369956381709827</v>
      </c>
      <c r="AG24" s="1">
        <f t="shared" ca="1" si="18"/>
        <v>50.959390705731359</v>
      </c>
      <c r="AH24" s="1">
        <f t="shared" ca="1" si="18"/>
        <v>53.43898392211598</v>
      </c>
      <c r="AI24" s="1">
        <f t="shared" ca="1" si="18"/>
        <v>55.806087070071484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2.6001265961881606E-6</v>
      </c>
      <c r="L26">
        <f t="shared" ref="L26:AI26" ca="1" si="19">qa1_/wa</f>
        <v>6.6597983722059872E-6</v>
      </c>
      <c r="M26">
        <f t="shared" ca="1" si="19"/>
        <v>1.6909782027655283E-5</v>
      </c>
      <c r="N26">
        <f t="shared" ca="1" si="19"/>
        <v>4.3064262305637605E-5</v>
      </c>
      <c r="O26">
        <f t="shared" ca="1" si="19"/>
        <v>1.1139264253389642E-4</v>
      </c>
      <c r="P26">
        <f t="shared" ca="1" si="19"/>
        <v>3.9928561820347304E-4</v>
      </c>
      <c r="Q26">
        <f t="shared" ca="1" si="19"/>
        <v>3.6379985728198158E-3</v>
      </c>
      <c r="R26">
        <f t="shared" ca="1" si="19"/>
        <v>1.1303610490810724E-2</v>
      </c>
      <c r="S26">
        <f t="shared" ca="1" si="19"/>
        <v>2.8626939925999576E-2</v>
      </c>
      <c r="T26">
        <f t="shared" ca="1" si="19"/>
        <v>6.987690459798486E-2</v>
      </c>
      <c r="U26">
        <f t="shared" ca="1" si="19"/>
        <v>0.15896321170892386</v>
      </c>
      <c r="V26">
        <f t="shared" ca="1" si="19"/>
        <v>0.3153578135574599</v>
      </c>
      <c r="W26">
        <f t="shared" ca="1" si="19"/>
        <v>0.51103485883744726</v>
      </c>
      <c r="X26">
        <f t="shared" ca="1" si="19"/>
        <v>0.67404177129550402</v>
      </c>
      <c r="Y26">
        <f t="shared" ca="1" si="19"/>
        <v>0.77012402471606589</v>
      </c>
      <c r="Z26">
        <f t="shared" ca="1" si="19"/>
        <v>0.81478367756505987</v>
      </c>
      <c r="AA26">
        <f t="shared" ca="1" si="19"/>
        <v>0.8336189670002323</v>
      </c>
      <c r="AB26">
        <f t="shared" ca="1" si="19"/>
        <v>0.84119352880263865</v>
      </c>
      <c r="AC26">
        <f t="shared" ca="1" si="19"/>
        <v>0.84417872411272354</v>
      </c>
      <c r="AD26">
        <f t="shared" ca="1" si="19"/>
        <v>0.84534348228370848</v>
      </c>
      <c r="AE26">
        <f t="shared" ca="1" si="19"/>
        <v>0.84579380867467657</v>
      </c>
      <c r="AF26">
        <f t="shared" ca="1" si="19"/>
        <v>0.8459649257905586</v>
      </c>
      <c r="AG26">
        <f t="shared" ca="1" si="19"/>
        <v>0.84602710231067302</v>
      </c>
      <c r="AH26">
        <f t="shared" ca="1" si="19"/>
        <v>0.84604679997117616</v>
      </c>
      <c r="AI26">
        <f t="shared" ca="1" si="19"/>
        <v>0.84604993811953211</v>
      </c>
      <c r="AM26" s="44"/>
    </row>
    <row r="27" spans="1:39">
      <c r="A27" t="s">
        <v>14</v>
      </c>
      <c r="B27" s="28">
        <f ca="1">fbar*C27</f>
        <v>0.16031035660798157</v>
      </c>
      <c r="C27" s="36">
        <f ca="1">CHOOSE(C$25,E36,E39,1)</f>
        <v>1.6464802124713724</v>
      </c>
      <c r="E27" s="42">
        <f ca="1">f1_/(F4/(f1_*365*re*phib))</f>
        <v>190.24658825860448</v>
      </c>
      <c r="J27" s="8" t="s">
        <v>31</v>
      </c>
      <c r="K27">
        <f t="shared" ref="K27:AI27" ca="1" si="20">qa2_/wa</f>
        <v>2.5964332145463637E-3</v>
      </c>
      <c r="L27">
        <f t="shared" ca="1" si="20"/>
        <v>3.3474157676025657E-2</v>
      </c>
      <c r="M27">
        <f t="shared" ca="1" si="20"/>
        <v>0.22719178924469666</v>
      </c>
      <c r="N27">
        <f t="shared" ca="1" si="20"/>
        <v>0.36237321841667031</v>
      </c>
      <c r="O27">
        <f t="shared" ca="1" si="20"/>
        <v>0.35092069225741551</v>
      </c>
      <c r="P27">
        <f t="shared" ca="1" si="20"/>
        <v>0.32269044873794156</v>
      </c>
      <c r="Q27">
        <f t="shared" ca="1" si="20"/>
        <v>0.29429034779391905</v>
      </c>
      <c r="R27">
        <f t="shared" ca="1" si="20"/>
        <v>0.26848518035360575</v>
      </c>
      <c r="S27">
        <f t="shared" ca="1" si="20"/>
        <v>0.24606229774308921</v>
      </c>
      <c r="T27">
        <f t="shared" ca="1" si="20"/>
        <v>0.22542945386011473</v>
      </c>
      <c r="U27">
        <f t="shared" ca="1" si="20"/>
        <v>0.20572419623558344</v>
      </c>
      <c r="V27">
        <f t="shared" ca="1" si="20"/>
        <v>0.18658802571123681</v>
      </c>
      <c r="W27">
        <f t="shared" ca="1" si="20"/>
        <v>0.16854544694491363</v>
      </c>
      <c r="X27">
        <f t="shared" ca="1" si="20"/>
        <v>0.15261402777252575</v>
      </c>
      <c r="Y27">
        <f t="shared" ca="1" si="20"/>
        <v>0.13900476825647745</v>
      </c>
      <c r="Z27">
        <f t="shared" ca="1" si="20"/>
        <v>0.13841141174988522</v>
      </c>
      <c r="AA27">
        <f t="shared" ca="1" si="20"/>
        <v>0.1381606459805311</v>
      </c>
      <c r="AB27">
        <f t="shared" ca="1" si="20"/>
        <v>0.13805971418864302</v>
      </c>
      <c r="AC27">
        <f t="shared" ca="1" si="20"/>
        <v>0.13801992241451816</v>
      </c>
      <c r="AD27">
        <f t="shared" ca="1" si="20"/>
        <v>0.13800439442059839</v>
      </c>
      <c r="AE27">
        <f t="shared" ca="1" si="20"/>
        <v>0.13799839056872418</v>
      </c>
      <c r="AF27">
        <f t="shared" ca="1" si="20"/>
        <v>0.13799610915071209</v>
      </c>
      <c r="AG27">
        <f t="shared" ca="1" si="20"/>
        <v>0.1379952801762595</v>
      </c>
      <c r="AH27">
        <f t="shared" ca="1" si="20"/>
        <v>0.13799501755459589</v>
      </c>
      <c r="AI27">
        <f t="shared" ca="1" si="20"/>
        <v>0.13799497571478664</v>
      </c>
    </row>
    <row r="28" spans="1:39">
      <c r="A28" t="s">
        <v>15</v>
      </c>
      <c r="B28" s="28">
        <f ca="1">fbar*C28</f>
        <v>0.10021134418779298</v>
      </c>
      <c r="C28" s="36">
        <f ca="1">CHOOSE(C$25,E37,E40,1)</f>
        <v>1.0292285461870427</v>
      </c>
      <c r="E28" s="42">
        <f ca="1">f2_/(F5/(f2_*365*re*phib))</f>
        <v>167.64965529574263</v>
      </c>
      <c r="J28" s="8" t="s">
        <v>32</v>
      </c>
      <c r="K28">
        <f t="shared" ref="K28:AI28" ca="1" si="21">qa3_/wa</f>
        <v>2.0900792849624055E-5</v>
      </c>
      <c r="L28">
        <f t="shared" ca="1" si="21"/>
        <v>7.4742291265935074E-5</v>
      </c>
      <c r="M28">
        <f t="shared" ca="1" si="21"/>
        <v>2.6436237245374994E-4</v>
      </c>
      <c r="N28">
        <f t="shared" ca="1" si="21"/>
        <v>9.298794195936157E-4</v>
      </c>
      <c r="O28">
        <f t="shared" ca="1" si="21"/>
        <v>3.3167808243142142E-3</v>
      </c>
      <c r="P28">
        <f t="shared" ca="1" si="21"/>
        <v>3.0328926701565843E-2</v>
      </c>
      <c r="Q28">
        <f t="shared" ca="1" si="21"/>
        <v>0.47203272306823674</v>
      </c>
      <c r="R28">
        <f t="shared" ca="1" si="21"/>
        <v>0.84642109050564729</v>
      </c>
      <c r="S28">
        <f t="shared" ca="1" si="21"/>
        <v>0.89673306477342019</v>
      </c>
      <c r="T28">
        <f t="shared" ca="1" si="21"/>
        <v>0.84065668664963322</v>
      </c>
      <c r="U28">
        <f t="shared" ca="1" si="21"/>
        <v>0.75980330375578886</v>
      </c>
      <c r="V28">
        <f t="shared" ca="1" si="21"/>
        <v>0.67679950240641473</v>
      </c>
      <c r="W28">
        <f t="shared" ca="1" si="21"/>
        <v>0.59914632716666416</v>
      </c>
      <c r="X28">
        <f t="shared" ca="1" si="21"/>
        <v>0.53139650066295707</v>
      </c>
      <c r="Y28">
        <f t="shared" ca="1" si="21"/>
        <v>0.47402832909914733</v>
      </c>
      <c r="Z28">
        <f t="shared" ca="1" si="21"/>
        <v>0.4720048892063442</v>
      </c>
      <c r="AA28">
        <f t="shared" ca="1" si="21"/>
        <v>0.47114973811956373</v>
      </c>
      <c r="AB28">
        <f t="shared" ca="1" si="21"/>
        <v>0.47080554468460606</v>
      </c>
      <c r="AC28">
        <f t="shared" ca="1" si="21"/>
        <v>0.47066984841722703</v>
      </c>
      <c r="AD28">
        <f t="shared" ca="1" si="21"/>
        <v>0.47061689549263047</v>
      </c>
      <c r="AE28">
        <f t="shared" ca="1" si="21"/>
        <v>0.47059642140452679</v>
      </c>
      <c r="AF28">
        <f t="shared" ca="1" si="21"/>
        <v>0.47058864140689222</v>
      </c>
      <c r="AG28">
        <f t="shared" ca="1" si="21"/>
        <v>0.47058581447239523</v>
      </c>
      <c r="AH28">
        <f t="shared" ca="1" si="21"/>
        <v>0.47058491889082682</v>
      </c>
      <c r="AI28">
        <f t="shared" ca="1" si="21"/>
        <v>0.47058477621043432</v>
      </c>
    </row>
    <row r="29" spans="1:39">
      <c r="A29" t="s">
        <v>19</v>
      </c>
      <c r="B29" s="28">
        <f ca="1">fbar*C29</f>
        <v>3.1574776393019324E-2</v>
      </c>
      <c r="C29" s="36">
        <f ca="1">CHOOSE(C$25,E38,E41,1)</f>
        <v>0.32429124134158521</v>
      </c>
      <c r="E29" s="42">
        <f ca="1">f3_/(F6/(f3_*365*re*phib))</f>
        <v>20.9525032110448</v>
      </c>
    </row>
    <row r="30" spans="1:39">
      <c r="A30" t="s">
        <v>95</v>
      </c>
      <c r="B30" s="28">
        <v>9.736549239626463E-2</v>
      </c>
      <c r="C30" s="36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0.29209647718879383</v>
      </c>
      <c r="G31">
        <f ca="1">SUMPRODUCT(dlz1_,wa,ma)</f>
        <v>-70.220893704964908</v>
      </c>
      <c r="H31">
        <f ca="1">Ro/(reck-1)*phie/phif^2*dphif</f>
        <v>-9206.5600386367878</v>
      </c>
      <c r="J31" s="8" t="s">
        <v>52</v>
      </c>
      <c r="K31">
        <v>0</v>
      </c>
      <c r="L31">
        <f t="shared" ref="L31:AH31" ca="1" si="22">K31*sa-K$7*K18*K$10</f>
        <v>-2.409642978626998E-6</v>
      </c>
      <c r="M31">
        <f t="shared" ca="1" si="22"/>
        <v>-7.3247663805811503E-6</v>
      </c>
      <c r="N31">
        <f t="shared" ca="1" si="22"/>
        <v>-1.7477083204040126E-5</v>
      </c>
      <c r="O31">
        <f t="shared" ca="1" si="22"/>
        <v>-3.8699185870607862E-5</v>
      </c>
      <c r="P31">
        <f t="shared" ca="1" si="22"/>
        <v>-8.397403371726446E-5</v>
      </c>
      <c r="Q31">
        <f t="shared" ca="1" si="22"/>
        <v>-2.2287474679365125E-4</v>
      </c>
      <c r="R31">
        <f t="shared" ca="1" si="22"/>
        <v>-1.3376191520022547E-3</v>
      </c>
      <c r="S31">
        <f t="shared" ca="1" si="22"/>
        <v>-4.0069152634546771E-3</v>
      </c>
      <c r="T31">
        <f t="shared" ca="1" si="22"/>
        <v>-9.2167947476181466E-3</v>
      </c>
      <c r="U31">
        <f t="shared" ca="1" si="22"/>
        <v>-1.9124281276454966E-2</v>
      </c>
      <c r="V31">
        <f t="shared" ca="1" si="22"/>
        <v>-3.6315796861539455E-2</v>
      </c>
      <c r="W31">
        <f t="shared" ca="1" si="22"/>
        <v>-6.0757885434868347E-2</v>
      </c>
      <c r="X31">
        <f t="shared" ca="1" si="22"/>
        <v>-8.5820920247044796E-2</v>
      </c>
      <c r="Y31">
        <f t="shared" ca="1" si="22"/>
        <v>-0.10223005044350052</v>
      </c>
      <c r="Z31">
        <f t="shared" ca="1" si="22"/>
        <v>-0.10643945499394181</v>
      </c>
      <c r="AA31">
        <f t="shared" ca="1" si="22"/>
        <v>-0.10103694463723668</v>
      </c>
      <c r="AB31">
        <f t="shared" ca="1" si="22"/>
        <v>-9.0185484193693072E-2</v>
      </c>
      <c r="AC31">
        <f t="shared" ca="1" si="22"/>
        <v>-7.7201300882636048E-2</v>
      </c>
      <c r="AD31">
        <f t="shared" ca="1" si="22"/>
        <v>-6.4161158311291058E-2</v>
      </c>
      <c r="AE31">
        <f t="shared" ca="1" si="22"/>
        <v>-5.2176365030871329E-2</v>
      </c>
      <c r="AF31">
        <f t="shared" ca="1" si="22"/>
        <v>-4.1732411137674404E-2</v>
      </c>
      <c r="AG31">
        <f t="shared" ca="1" si="22"/>
        <v>-3.294683029398647E-2</v>
      </c>
      <c r="AH31">
        <f t="shared" ca="1" si="22"/>
        <v>-2.5739117263795873E-2</v>
      </c>
      <c r="AI31">
        <f ca="1">(AH31*sa-AH$7*AH18*AH$10)/oa-AH$7*AH$10*flt1_*sa/oa^2</f>
        <v>-8.2593593272717883E-2</v>
      </c>
    </row>
    <row r="32" spans="1:39">
      <c r="A32" s="12" t="s">
        <v>22</v>
      </c>
      <c r="B32" s="12"/>
      <c r="C32" s="12"/>
      <c r="G32">
        <f ca="1">SUMPRODUCT(dlz2_,wa,ma)</f>
        <v>-80.250184471123603</v>
      </c>
      <c r="H32">
        <f ca="1">Ro/(reck-1)*phie/phif^2*dphif</f>
        <v>-10521.485877825546</v>
      </c>
      <c r="J32" s="8" t="s">
        <v>53</v>
      </c>
      <c r="K32">
        <v>0</v>
      </c>
      <c r="L32">
        <f t="shared" ref="L32:AH32" ca="1" si="23">K32*sa-K$7*K19*K$10</f>
        <v>-2.4062201717707497E-3</v>
      </c>
      <c r="M32">
        <f t="shared" ca="1" si="23"/>
        <v>-2.8667837548414642E-2</v>
      </c>
      <c r="N32">
        <f t="shared" ca="1" si="23"/>
        <v>-0.17713300874468707</v>
      </c>
      <c r="O32">
        <f t="shared" ca="1" si="23"/>
        <v>-0.35053951179131138</v>
      </c>
      <c r="P32">
        <f t="shared" ca="1" si="23"/>
        <v>-0.45425761657181551</v>
      </c>
      <c r="Q32">
        <f t="shared" ca="1" si="23"/>
        <v>-0.4965929723635672</v>
      </c>
      <c r="R32">
        <f t="shared" ca="1" si="23"/>
        <v>-0.4955345549974895</v>
      </c>
      <c r="S32">
        <f t="shared" ca="1" si="23"/>
        <v>-0.46961449066723665</v>
      </c>
      <c r="T32">
        <f t="shared" ca="1" si="23"/>
        <v>-0.42946353335894338</v>
      </c>
      <c r="U32">
        <f t="shared" ca="1" si="23"/>
        <v>-0.3798040810677808</v>
      </c>
      <c r="V32">
        <f t="shared" ca="1" si="23"/>
        <v>-0.32281142365847826</v>
      </c>
      <c r="W32">
        <f t="shared" ca="1" si="23"/>
        <v>-0.26247508823395005</v>
      </c>
      <c r="X32">
        <f t="shared" ca="1" si="23"/>
        <v>-0.20554785505088588</v>
      </c>
      <c r="Y32">
        <f t="shared" ca="1" si="23"/>
        <v>-0.1571147263605947</v>
      </c>
      <c r="Z32">
        <f t="shared" ca="1" si="23"/>
        <v>-0.11812237113383982</v>
      </c>
      <c r="AA32">
        <f t="shared" ca="1" si="23"/>
        <v>-8.8250830602161892E-2</v>
      </c>
      <c r="AB32">
        <f t="shared" ca="1" si="23"/>
        <v>-6.5678625657060646E-2</v>
      </c>
      <c r="AC32">
        <f t="shared" ca="1" si="23"/>
        <v>-4.8744756469418039E-2</v>
      </c>
      <c r="AD32">
        <f t="shared" ca="1" si="23"/>
        <v>-3.6096621616960145E-2</v>
      </c>
      <c r="AE32">
        <f t="shared" ca="1" si="23"/>
        <v>-2.6679207149421839E-2</v>
      </c>
      <c r="AF32">
        <f t="shared" ca="1" si="23"/>
        <v>-1.9684956487138423E-2</v>
      </c>
      <c r="AG32">
        <f t="shared" ca="1" si="23"/>
        <v>-1.4501630994472709E-2</v>
      </c>
      <c r="AH32">
        <f t="shared" ca="1" si="23"/>
        <v>-1.0667774662341877E-2</v>
      </c>
      <c r="AI32">
        <f ca="1">(AH32*sa-AH$7*AH19*AH$10)/oa-AH$7*AH$10*flt2_*sa/oa^2</f>
        <v>-2.9216921497680556E-2</v>
      </c>
    </row>
    <row r="33" spans="1:35">
      <c r="A33" s="59" t="s">
        <v>130</v>
      </c>
      <c r="B33" s="60">
        <f ca="1">SUMPRODUCT(lz,wa)</f>
        <v>60.428086503702652</v>
      </c>
      <c r="C33" s="59"/>
      <c r="D33" s="61"/>
      <c r="E33" s="61"/>
      <c r="G33">
        <f ca="1">SUMPRODUCT(dlz3_,wa,ma)</f>
        <v>-149.57782390164098</v>
      </c>
      <c r="H33">
        <f ca="1">Ro/(reck-1)*phie/phif^2*dphif</f>
        <v>-19610.932637585214</v>
      </c>
      <c r="J33" s="8" t="s">
        <v>54</v>
      </c>
      <c r="K33">
        <v>0</v>
      </c>
      <c r="L33">
        <f t="shared" ref="L33:AH33" ca="1" si="24">K33*sa-K$7*K20*K$10</f>
        <v>-1.9369614084047993E-5</v>
      </c>
      <c r="M33">
        <f t="shared" ca="1" si="24"/>
        <v>-7.5762409824317031E-5</v>
      </c>
      <c r="N33">
        <f t="shared" ca="1" si="24"/>
        <v>-2.4118324505974448E-4</v>
      </c>
      <c r="O33">
        <f t="shared" ca="1" si="24"/>
        <v>-7.2285224747650734E-4</v>
      </c>
      <c r="P33">
        <f t="shared" ca="1" si="24"/>
        <v>-2.1440265396875597E-3</v>
      </c>
      <c r="Q33">
        <f t="shared" ca="1" si="24"/>
        <v>-1.3460895634016245E-2</v>
      </c>
      <c r="R33">
        <f t="shared" ca="1" si="24"/>
        <v>-0.16104650817026375</v>
      </c>
      <c r="S33">
        <f t="shared" ca="1" si="24"/>
        <v>-0.34919847361917439</v>
      </c>
      <c r="T33">
        <f t="shared" ca="1" si="24"/>
        <v>-0.46874092938828499</v>
      </c>
      <c r="U33">
        <f t="shared" ca="1" si="24"/>
        <v>-0.51486121641469174</v>
      </c>
      <c r="V33">
        <f t="shared" ca="1" si="24"/>
        <v>-0.50252587477714583</v>
      </c>
      <c r="W33">
        <f t="shared" ca="1" si="24"/>
        <v>-0.44958615362611626</v>
      </c>
      <c r="X33">
        <f t="shared" ca="1" si="24"/>
        <v>-0.37722811127208489</v>
      </c>
      <c r="Y33">
        <f t="shared" ca="1" si="24"/>
        <v>-0.3034257526341978</v>
      </c>
      <c r="Z33">
        <f t="shared" ca="1" si="24"/>
        <v>-0.23706931364356562</v>
      </c>
      <c r="AA33">
        <f t="shared" ca="1" si="24"/>
        <v>-0.18317292419972026</v>
      </c>
      <c r="AB33">
        <f t="shared" ca="1" si="24"/>
        <v>-0.14041450419363019</v>
      </c>
      <c r="AC33">
        <f t="shared" ca="1" si="24"/>
        <v>-0.10697940669171621</v>
      </c>
      <c r="AD33">
        <f t="shared" ca="1" si="24"/>
        <v>-8.1095683163475568E-2</v>
      </c>
      <c r="AE33">
        <f t="shared" ca="1" si="24"/>
        <v>-6.1210568699315321E-2</v>
      </c>
      <c r="AF33">
        <f t="shared" ca="1" si="24"/>
        <v>-4.6028405417518542E-2</v>
      </c>
      <c r="AG33">
        <f t="shared" ca="1" si="24"/>
        <v>-3.4497350059934477E-2</v>
      </c>
      <c r="AH33">
        <f t="shared" ca="1" si="24"/>
        <v>-2.5778709170165989E-2</v>
      </c>
      <c r="AI33">
        <f ca="1">(AH33*sa-AH$7*AH20*AH$10)/oa-AH$7*AH$10*flt3_*sa/oa^2</f>
        <v>-7.3836175962313011E-2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26.332260256380607</v>
      </c>
      <c r="F35" s="37"/>
      <c r="G35" s="1">
        <f ca="1">SUM(dqa11_)</f>
        <v>863.40639625547055</v>
      </c>
      <c r="H35" s="1">
        <f ca="1">SUM(dqa12_)</f>
        <v>868.72252241036324</v>
      </c>
      <c r="I35" s="11">
        <f ca="1">SUM(dqa13_)</f>
        <v>864.8250209763205</v>
      </c>
      <c r="J35" s="8" t="s">
        <v>62</v>
      </c>
      <c r="K35">
        <f ca="1">flt1_*qa1_+lz*wa*flt1_^2/za*(sa-oa/za)</f>
        <v>2.6182068117542069E-13</v>
      </c>
      <c r="L35">
        <f t="shared" ref="L35:AI35" ca="1" si="25">flt1_*qa1_+lz*wa*flt1_^2/za*(sa-oa/za)</f>
        <v>1.2849012125268606E-11</v>
      </c>
      <c r="M35">
        <f t="shared" ca="1" si="25"/>
        <v>2.8036110604285349E-10</v>
      </c>
      <c r="N35">
        <f t="shared" ca="1" si="25"/>
        <v>4.3136295091186786E-9</v>
      </c>
      <c r="O35">
        <f t="shared" ca="1" si="25"/>
        <v>5.526983151969422E-8</v>
      </c>
      <c r="P35">
        <f t="shared" ca="1" si="25"/>
        <v>1.1834259577699369E-6</v>
      </c>
      <c r="Q35">
        <f t="shared" ca="1" si="25"/>
        <v>1.4977703828020797E-4</v>
      </c>
      <c r="R35">
        <f t="shared" ca="1" si="25"/>
        <v>2.0564578255185184E-3</v>
      </c>
      <c r="S35">
        <f t="shared" ca="1" si="25"/>
        <v>1.769573707373754E-2</v>
      </c>
      <c r="T35">
        <f t="shared" ca="1" si="25"/>
        <v>0.13549387936447152</v>
      </c>
      <c r="U35">
        <f t="shared" ca="1" si="25"/>
        <v>0.87381619283546685</v>
      </c>
      <c r="V35">
        <f t="shared" ca="1" si="25"/>
        <v>4.1938888595105119</v>
      </c>
      <c r="W35">
        <f t="shared" ca="1" si="25"/>
        <v>13.182118950590825</v>
      </c>
      <c r="X35">
        <f t="shared" ca="1" si="25"/>
        <v>26.858383038154344</v>
      </c>
      <c r="Y35">
        <f t="shared" ca="1" si="25"/>
        <v>40.132292100921092</v>
      </c>
      <c r="Z35">
        <f t="shared" ca="1" si="25"/>
        <v>50.501935005822588</v>
      </c>
      <c r="AA35">
        <f t="shared" ca="1" si="25"/>
        <v>58.529884064068412</v>
      </c>
      <c r="AB35">
        <f t="shared" ca="1" si="25"/>
        <v>65.195928354974725</v>
      </c>
      <c r="AC35">
        <f t="shared" ca="1" si="25"/>
        <v>71.12230924319951</v>
      </c>
      <c r="AD35">
        <f t="shared" ca="1" si="25"/>
        <v>76.61411093444606</v>
      </c>
      <c r="AE35">
        <f t="shared" ca="1" si="25"/>
        <v>81.8049506176324</v>
      </c>
      <c r="AF35">
        <f t="shared" ca="1" si="25"/>
        <v>86.749194467635434</v>
      </c>
      <c r="AG35">
        <f t="shared" ca="1" si="25"/>
        <v>91.467514283859373</v>
      </c>
      <c r="AH35">
        <f t="shared" ca="1" si="25"/>
        <v>95.967414176626903</v>
      </c>
      <c r="AI35">
        <f t="shared" ca="1" si="25"/>
        <v>100.05725887058799</v>
      </c>
    </row>
    <row r="36" spans="1:35">
      <c r="A36" t="s">
        <v>33</v>
      </c>
      <c r="B36" s="1">
        <f ca="1">SUMPRODUCT(lz,ta1_)</f>
        <v>0.32875647743468223</v>
      </c>
      <c r="C36" s="29">
        <f ca="1">B11/(phi_t1/SUM(B$36:B$38))</f>
        <v>2.0773912231169485</v>
      </c>
      <c r="E36" s="38">
        <f ca="1">C36/AVERAGE(C$36:C$38)</f>
        <v>1.6464802124713724</v>
      </c>
      <c r="G36" s="1">
        <f ca="1">SUM(dqa21_)</f>
        <v>868.72252241036324</v>
      </c>
      <c r="H36" s="1">
        <f ca="1">SUM(dqa22_)</f>
        <v>34.484309088550077</v>
      </c>
      <c r="I36" s="11">
        <f ca="1">SUM(dqa23_)</f>
        <v>866.58885102885984</v>
      </c>
      <c r="J36" s="8" t="s">
        <v>63</v>
      </c>
      <c r="K36">
        <f t="shared" ref="K36:AI36" ca="1" si="26">flt2_*qa2_+lz*wa*flt2_^2/za*(sa-oa/za)</f>
        <v>2.6107739667335454E-7</v>
      </c>
      <c r="L36">
        <f t="shared" ca="1" si="26"/>
        <v>3.2461373527217281E-4</v>
      </c>
      <c r="M36">
        <f t="shared" ca="1" si="26"/>
        <v>5.0608912997123584E-2</v>
      </c>
      <c r="N36">
        <f t="shared" ca="1" si="26"/>
        <v>0.30543654863207625</v>
      </c>
      <c r="O36">
        <f t="shared" ca="1" si="26"/>
        <v>0.54852077650008335</v>
      </c>
      <c r="P36">
        <f t="shared" ca="1" si="26"/>
        <v>0.77294034667840184</v>
      </c>
      <c r="Q36">
        <f t="shared" ca="1" si="26"/>
        <v>0.980104145873812</v>
      </c>
      <c r="R36">
        <f t="shared" ca="1" si="26"/>
        <v>1.1601818774517945</v>
      </c>
      <c r="S36">
        <f t="shared" ca="1" si="26"/>
        <v>1.3074014247065562</v>
      </c>
      <c r="T36">
        <f t="shared" ca="1" si="26"/>
        <v>1.4101771665677352</v>
      </c>
      <c r="U36">
        <f t="shared" ca="1" si="26"/>
        <v>1.4635163526928916</v>
      </c>
      <c r="V36">
        <f t="shared" ca="1" si="26"/>
        <v>1.4681731058228495</v>
      </c>
      <c r="W36">
        <f t="shared" ca="1" si="26"/>
        <v>1.4338978899737385</v>
      </c>
      <c r="X36">
        <f t="shared" ca="1" si="26"/>
        <v>1.3768770132015793</v>
      </c>
      <c r="Y36">
        <f t="shared" ca="1" si="26"/>
        <v>1.3074708558901547</v>
      </c>
      <c r="Z36">
        <f t="shared" ca="1" si="26"/>
        <v>1.4573611055331117</v>
      </c>
      <c r="AA36">
        <f t="shared" ca="1" si="26"/>
        <v>1.6077229057885714</v>
      </c>
      <c r="AB36">
        <f t="shared" ca="1" si="26"/>
        <v>1.7561538804821941</v>
      </c>
      <c r="AC36">
        <f t="shared" ca="1" si="26"/>
        <v>1.9011684660142592</v>
      </c>
      <c r="AD36">
        <f t="shared" ca="1" si="26"/>
        <v>2.0418704332933197</v>
      </c>
      <c r="AE36">
        <f t="shared" ca="1" si="26"/>
        <v>2.177702883334927</v>
      </c>
      <c r="AF36">
        <f t="shared" ca="1" si="26"/>
        <v>2.3083115205208449</v>
      </c>
      <c r="AG36">
        <f t="shared" ca="1" si="26"/>
        <v>2.4334744480447497</v>
      </c>
      <c r="AH36">
        <f t="shared" ca="1" si="26"/>
        <v>2.5530647581822397</v>
      </c>
      <c r="AI36">
        <f t="shared" ca="1" si="26"/>
        <v>2.6618473955543975</v>
      </c>
    </row>
    <row r="37" spans="1:35">
      <c r="A37" t="s">
        <v>34</v>
      </c>
      <c r="B37" s="1">
        <f ca="1">SUMPRODUCT(lz,ta2_)</f>
        <v>1.1263753241544716</v>
      </c>
      <c r="C37" s="29">
        <f ca="1">B12/(phi_t2/SUM(B$36:B$38))</f>
        <v>1.2985946215661277</v>
      </c>
      <c r="E37" s="38">
        <f ca="1">C37/AVERAGE(C$36:C$38)</f>
        <v>1.0292285461870425</v>
      </c>
      <c r="G37" s="1">
        <f ca="1">SUM(dqa31_)</f>
        <v>864.8250209763205</v>
      </c>
      <c r="H37" s="1">
        <f ca="1">SUM(dqa32_)</f>
        <v>866.58885102885984</v>
      </c>
      <c r="I37" s="1">
        <f ca="1">SUM(dqa33_)</f>
        <v>383.3656349369441</v>
      </c>
      <c r="J37" s="8" t="s">
        <v>64</v>
      </c>
      <c r="K37">
        <f t="shared" ref="K37:AI37" ca="1" si="27">flt3_*qa3_+lz*wa*flt3_^2/za*(sa-oa/za)</f>
        <v>1.6917667420609708E-11</v>
      </c>
      <c r="L37">
        <f t="shared" ca="1" si="27"/>
        <v>1.6183795855858195E-9</v>
      </c>
      <c r="M37">
        <f t="shared" ca="1" si="27"/>
        <v>6.8523735036850304E-8</v>
      </c>
      <c r="N37">
        <f t="shared" ca="1" si="27"/>
        <v>2.0112316234629534E-6</v>
      </c>
      <c r="O37">
        <f t="shared" ca="1" si="27"/>
        <v>4.9001421085775177E-5</v>
      </c>
      <c r="P37">
        <f t="shared" ca="1" si="27"/>
        <v>6.8279107970103618E-3</v>
      </c>
      <c r="Q37">
        <f t="shared" ca="1" si="27"/>
        <v>2.5215315294482274</v>
      </c>
      <c r="R37">
        <f t="shared" ca="1" si="27"/>
        <v>11.530772194630813</v>
      </c>
      <c r="S37">
        <f t="shared" ca="1" si="27"/>
        <v>17.363815825589153</v>
      </c>
      <c r="T37">
        <f t="shared" ca="1" si="27"/>
        <v>19.610546836360005</v>
      </c>
      <c r="U37">
        <f t="shared" ca="1" si="27"/>
        <v>19.963155341831651</v>
      </c>
      <c r="V37">
        <f t="shared" ca="1" si="27"/>
        <v>19.316559978168247</v>
      </c>
      <c r="W37">
        <f t="shared" ca="1" si="27"/>
        <v>18.119657248972121</v>
      </c>
      <c r="X37">
        <f t="shared" ca="1" si="27"/>
        <v>16.693354692027963</v>
      </c>
      <c r="Y37">
        <f t="shared" ca="1" si="27"/>
        <v>15.204817608296002</v>
      </c>
      <c r="Z37">
        <f t="shared" ca="1" si="27"/>
        <v>16.947918723564449</v>
      </c>
      <c r="AA37">
        <f t="shared" ca="1" si="27"/>
        <v>18.696503587112165</v>
      </c>
      <c r="AB37">
        <f t="shared" ca="1" si="27"/>
        <v>20.422634527217603</v>
      </c>
      <c r="AC37">
        <f t="shared" ca="1" si="27"/>
        <v>22.109035653196454</v>
      </c>
      <c r="AD37">
        <f t="shared" ca="1" si="27"/>
        <v>23.745284553100259</v>
      </c>
      <c r="AE37">
        <f t="shared" ca="1" si="27"/>
        <v>25.324904946829424</v>
      </c>
      <c r="AF37">
        <f t="shared" ca="1" si="27"/>
        <v>26.843776665868972</v>
      </c>
      <c r="AG37">
        <f t="shared" ca="1" si="27"/>
        <v>28.299319231692124</v>
      </c>
      <c r="AH37">
        <f t="shared" ca="1" si="27"/>
        <v>29.690056811171182</v>
      </c>
      <c r="AI37">
        <f t="shared" ca="1" si="27"/>
        <v>30.955109988258609</v>
      </c>
    </row>
    <row r="38" spans="1:35">
      <c r="A38" t="s">
        <v>35</v>
      </c>
      <c r="B38" s="1">
        <f ca="1">SUMPRODUCT(lz,ta3_)</f>
        <v>1.1687312465254749</v>
      </c>
      <c r="C38" s="29">
        <f ca="1">B13/(phi_t3/SUM(B$36:B$38))</f>
        <v>0.4091636045145744</v>
      </c>
      <c r="E38" s="38">
        <f ca="1">C38/AVERAGE(C$36:C$38)</f>
        <v>0.3242912413415851</v>
      </c>
      <c r="G38" t="s">
        <v>69</v>
      </c>
      <c r="J38" s="8" t="s">
        <v>60</v>
      </c>
      <c r="K38">
        <f t="shared" ref="K38:AI38" ca="1" si="28">flt1_*qa1_+lz*wa*flt2_*flt1_/za*(sa-oa/za)</f>
        <v>-2.4816567393401772E-10</v>
      </c>
      <c r="L38">
        <f t="shared" ca="1" si="28"/>
        <v>-4.659566045413911E-8</v>
      </c>
      <c r="M38">
        <f t="shared" ca="1" si="28"/>
        <v>-2.1020678364302321E-6</v>
      </c>
      <c r="N38">
        <f t="shared" ca="1" si="28"/>
        <v>-1.5548995021676386E-5</v>
      </c>
      <c r="O38">
        <f t="shared" ca="1" si="28"/>
        <v>-5.7393601402397274E-5</v>
      </c>
      <c r="P38">
        <f t="shared" ca="1" si="28"/>
        <v>-2.4595923063624255E-4</v>
      </c>
      <c r="Q38">
        <f t="shared" ca="1" si="28"/>
        <v>-2.3042769314986214E-3</v>
      </c>
      <c r="R38">
        <f t="shared" ca="1" si="28"/>
        <v>-5.5034863021792939E-3</v>
      </c>
      <c r="S38">
        <f t="shared" ca="1" si="28"/>
        <v>6.5215623798092759E-4</v>
      </c>
      <c r="T38">
        <f t="shared" ca="1" si="28"/>
        <v>0.10536755004973686</v>
      </c>
      <c r="U38">
        <f t="shared" ca="1" si="28"/>
        <v>0.85359074473911889</v>
      </c>
      <c r="V38">
        <f t="shared" ca="1" si="28"/>
        <v>4.2989583251351045</v>
      </c>
      <c r="W38">
        <f t="shared" ca="1" si="28"/>
        <v>13.595027295545247</v>
      </c>
      <c r="X38">
        <f t="shared" ca="1" si="28"/>
        <v>27.57641775209191</v>
      </c>
      <c r="Y38">
        <f t="shared" ca="1" si="28"/>
        <v>40.953294241546857</v>
      </c>
      <c r="Z38">
        <f t="shared" ca="1" si="28"/>
        <v>51.248792820694128</v>
      </c>
      <c r="AA38">
        <f t="shared" ca="1" si="28"/>
        <v>59.146821498686116</v>
      </c>
      <c r="AB38">
        <f t="shared" ca="1" si="28"/>
        <v>65.683267566392018</v>
      </c>
      <c r="AC38">
        <f t="shared" ca="1" si="28"/>
        <v>71.498760811755162</v>
      </c>
      <c r="AD38">
        <f t="shared" ca="1" si="28"/>
        <v>76.901186423933552</v>
      </c>
      <c r="AE38">
        <f t="shared" ca="1" si="28"/>
        <v>82.021977692133575</v>
      </c>
      <c r="AF38">
        <f t="shared" ca="1" si="28"/>
        <v>86.912178806818602</v>
      </c>
      <c r="AG38">
        <f t="shared" ca="1" si="28"/>
        <v>91.589240736570176</v>
      </c>
      <c r="AH38">
        <f t="shared" ca="1" si="28"/>
        <v>96.057894229046056</v>
      </c>
      <c r="AI38">
        <f t="shared" ca="1" si="28"/>
        <v>100.28722257296022</v>
      </c>
    </row>
    <row r="39" spans="1:35">
      <c r="A39" s="1" t="s">
        <v>36</v>
      </c>
      <c r="B39" s="1">
        <f ca="1">SUMPRODUCT(lz,qa1_)</f>
        <v>18.525375079996124</v>
      </c>
      <c r="C39" s="23">
        <f ca="1">B4/(phi_q1/SUM(B$39:B$41))</f>
        <v>2.1114961412069673</v>
      </c>
      <c r="D39" s="21"/>
      <c r="E39" s="39">
        <f ca="1">C39/AVERAGE(C$39:C$41)</f>
        <v>1.7811436209381712</v>
      </c>
      <c r="G39" s="1">
        <f ca="1">re*phi_q1+f1_*phi_q1*$H31+f1_*re*G35</f>
        <v>1169736.079260116</v>
      </c>
      <c r="H39" s="1">
        <f ca="1">re*phi_q1+f1_*phi_q1*$H32+f1_*re*H35</f>
        <v>1172331.550315357</v>
      </c>
      <c r="I39" s="1">
        <f ca="1">re*phi_q1+f1_*phi_q1*$H33+f1_*re*I35</f>
        <v>1140571.7667928648</v>
      </c>
      <c r="J39" s="8" t="s">
        <v>66</v>
      </c>
      <c r="K39">
        <f t="shared" ref="K39:AI39" ca="1" si="29">flt1_*qa1_+lz*wa*flt3_*flt1_/za*(sa-oa/za)</f>
        <v>-1.4909477171654149E-12</v>
      </c>
      <c r="L39">
        <f t="shared" ca="1" si="29"/>
        <v>-8.1966068647263201E-11</v>
      </c>
      <c r="M39">
        <f t="shared" ca="1" si="29"/>
        <v>-2.0096434432650301E-9</v>
      </c>
      <c r="N39">
        <f t="shared" ca="1" si="29"/>
        <v>-3.3753613031156636E-8</v>
      </c>
      <c r="O39">
        <f t="shared" ca="1" si="29"/>
        <v>-4.6964764675688515E-7</v>
      </c>
      <c r="P39">
        <f t="shared" ca="1" si="29"/>
        <v>-2.1767532227513499E-5</v>
      </c>
      <c r="Q39">
        <f t="shared" ca="1" si="29"/>
        <v>-3.8050023954722448E-3</v>
      </c>
      <c r="R39">
        <f t="shared" ca="1" si="29"/>
        <v>-2.2492118856489239E-2</v>
      </c>
      <c r="S39">
        <f t="shared" ca="1" si="29"/>
        <v>-5.0350403450007332E-2</v>
      </c>
      <c r="T39">
        <f t="shared" ca="1" si="29"/>
        <v>-1.3785355552449141E-2</v>
      </c>
      <c r="U39">
        <f t="shared" ca="1" si="29"/>
        <v>0.61393586270746248</v>
      </c>
      <c r="V39">
        <f t="shared" ca="1" si="29"/>
        <v>3.8989711949170029</v>
      </c>
      <c r="W39">
        <f t="shared" ca="1" si="29"/>
        <v>13.0758909642765</v>
      </c>
      <c r="X39">
        <f t="shared" ca="1" si="29"/>
        <v>27.054813430218193</v>
      </c>
      <c r="Y39">
        <f t="shared" ca="1" si="29"/>
        <v>40.517473185864155</v>
      </c>
      <c r="Z39">
        <f t="shared" ca="1" si="29"/>
        <v>50.880435174733805</v>
      </c>
      <c r="AA39">
        <f t="shared" ca="1" si="29"/>
        <v>58.85142861883859</v>
      </c>
      <c r="AB39">
        <f t="shared" ca="1" si="29"/>
        <v>65.452642773122307</v>
      </c>
      <c r="AC39">
        <f t="shared" ca="1" si="29"/>
        <v>71.321425931665175</v>
      </c>
      <c r="AD39">
        <f t="shared" ca="1" si="29"/>
        <v>76.766194737211734</v>
      </c>
      <c r="AE39">
        <f t="shared" ca="1" si="29"/>
        <v>81.919995147784377</v>
      </c>
      <c r="AF39">
        <f t="shared" ca="1" si="29"/>
        <v>86.835611346765333</v>
      </c>
      <c r="AG39">
        <f t="shared" ca="1" si="29"/>
        <v>91.532061010067196</v>
      </c>
      <c r="AH39">
        <f t="shared" ca="1" si="29"/>
        <v>96.01539345091895</v>
      </c>
      <c r="AI39">
        <f t="shared" ca="1" si="29"/>
        <v>100.17920330051072</v>
      </c>
    </row>
    <row r="40" spans="1:35">
      <c r="A40" s="1" t="s">
        <v>37</v>
      </c>
      <c r="B40" s="1">
        <f ca="1">SUMPRODUCT(lz,qa2_)</f>
        <v>13.141245527122384</v>
      </c>
      <c r="C40" s="23">
        <f ca="1">B5/(phi_q2/SUM(B$39:B$41))</f>
        <v>1.1101032080137911</v>
      </c>
      <c r="D40" s="21"/>
      <c r="E40" s="39">
        <f ca="1">C40/AVERAGE(C$39:C$41)</f>
        <v>0.93642285626273136</v>
      </c>
      <c r="G40" s="1">
        <f ca="1">re*phi_q1+f1_*phi_q1*$H32+f1_*re*G36</f>
        <v>1172331.550315357</v>
      </c>
      <c r="H40" s="1">
        <f ca="1">re*phi_q2+f2_*phi_q2*$H32+f2_*re*H36</f>
        <v>112740.80235792699</v>
      </c>
      <c r="I40" s="1">
        <f ca="1">re*phi_q3+f3_*phi_q3*$H33+f3_*re*I36</f>
        <v>440905.47701086476</v>
      </c>
      <c r="J40" s="8" t="s">
        <v>65</v>
      </c>
      <c r="K40">
        <f t="shared" ref="K40:AI40" ca="1" si="30">flt1_*qa1_+lz*wa*flt1_*flt2_/za*(sa-oa/za)</f>
        <v>-2.4816567393401767E-10</v>
      </c>
      <c r="L40">
        <f t="shared" ca="1" si="30"/>
        <v>-4.659566045413911E-8</v>
      </c>
      <c r="M40">
        <f t="shared" ca="1" si="30"/>
        <v>-2.1020678364302317E-6</v>
      </c>
      <c r="N40">
        <f t="shared" ca="1" si="30"/>
        <v>-1.5548995021676386E-5</v>
      </c>
      <c r="O40">
        <f t="shared" ca="1" si="30"/>
        <v>-5.739360140239726E-5</v>
      </c>
      <c r="P40">
        <f t="shared" ca="1" si="30"/>
        <v>-2.4595923063624249E-4</v>
      </c>
      <c r="Q40">
        <f t="shared" ca="1" si="30"/>
        <v>-2.3042769314986214E-3</v>
      </c>
      <c r="R40">
        <f t="shared" ca="1" si="30"/>
        <v>-5.5034863021792939E-3</v>
      </c>
      <c r="S40">
        <f t="shared" ca="1" si="30"/>
        <v>6.5215623798093106E-4</v>
      </c>
      <c r="T40">
        <f t="shared" ca="1" si="30"/>
        <v>0.10536755004973686</v>
      </c>
      <c r="U40">
        <f t="shared" ca="1" si="30"/>
        <v>0.85359074473911889</v>
      </c>
      <c r="V40">
        <f t="shared" ca="1" si="30"/>
        <v>4.2989583251351045</v>
      </c>
      <c r="W40">
        <f t="shared" ca="1" si="30"/>
        <v>13.595027295545247</v>
      </c>
      <c r="X40">
        <f t="shared" ca="1" si="30"/>
        <v>27.57641775209191</v>
      </c>
      <c r="Y40">
        <f t="shared" ca="1" si="30"/>
        <v>40.953294241546857</v>
      </c>
      <c r="Z40">
        <f t="shared" ca="1" si="30"/>
        <v>51.248792820694128</v>
      </c>
      <c r="AA40">
        <f t="shared" ca="1" si="30"/>
        <v>59.146821498686116</v>
      </c>
      <c r="AB40">
        <f t="shared" ca="1" si="30"/>
        <v>65.683267566392018</v>
      </c>
      <c r="AC40">
        <f t="shared" ca="1" si="30"/>
        <v>71.498760811755162</v>
      </c>
      <c r="AD40">
        <f t="shared" ca="1" si="30"/>
        <v>76.901186423933552</v>
      </c>
      <c r="AE40">
        <f t="shared" ca="1" si="30"/>
        <v>82.021977692133575</v>
      </c>
      <c r="AF40">
        <f t="shared" ca="1" si="30"/>
        <v>86.912178806818602</v>
      </c>
      <c r="AG40">
        <f t="shared" ca="1" si="30"/>
        <v>91.589240736570176</v>
      </c>
      <c r="AH40">
        <f t="shared" ca="1" si="30"/>
        <v>96.057894229046056</v>
      </c>
      <c r="AI40">
        <f t="shared" ca="1" si="30"/>
        <v>100.28722257296022</v>
      </c>
    </row>
    <row r="41" spans="1:35">
      <c r="A41" s="1" t="s">
        <v>38</v>
      </c>
      <c r="B41" s="1">
        <f ca="1">SUMPRODUCT(lz,qa3_)</f>
        <v>33.130399634591775</v>
      </c>
      <c r="C41" s="23">
        <f ca="1">B6/(phi_q3/SUM(B$39:B$41))</f>
        <v>0.33481707287796852</v>
      </c>
      <c r="D41" s="21"/>
      <c r="E41" s="39">
        <f ca="1">C41/AVERAGE(C$39:C$41)</f>
        <v>0.2824335227990975</v>
      </c>
      <c r="G41" s="1">
        <f ca="1">re*phi_q1+f1_*phi_q1*$H33+f1_*re*G37</f>
        <v>1140571.7667928648</v>
      </c>
      <c r="H41" s="1">
        <f ca="1">re*phi_q3+f3_*phi_q3*$H33+f3_*re*H37</f>
        <v>440905.47701086465</v>
      </c>
      <c r="I41" s="1">
        <f ca="1">re*phi_q3+f1_*phi_q3*$H33+f3_*re*I37</f>
        <v>240882.84863815329</v>
      </c>
      <c r="J41" s="8" t="s">
        <v>67</v>
      </c>
      <c r="K41">
        <f t="shared" ref="K41:AI41" ca="1" si="31">flt1_*qa1_+lz*wa*flt3_*flt2_/za*(sa-oa/za)</f>
        <v>-1.9984443309544709E-9</v>
      </c>
      <c r="L41">
        <f t="shared" ca="1" si="31"/>
        <v>-5.2316488769840654E-7</v>
      </c>
      <c r="M41">
        <f t="shared" ca="1" si="31"/>
        <v>-3.2869479863674085E-5</v>
      </c>
      <c r="N41">
        <f t="shared" ca="1" si="31"/>
        <v>-3.3587374823965235E-4</v>
      </c>
      <c r="O41">
        <f t="shared" ca="1" si="31"/>
        <v>-1.7110432560353895E-3</v>
      </c>
      <c r="P41">
        <f t="shared" ca="1" si="31"/>
        <v>-1.8794223075192684E-2</v>
      </c>
      <c r="Q41">
        <f t="shared" ca="1" si="31"/>
        <v>-0.32222012948367362</v>
      </c>
      <c r="R41">
        <f t="shared" ca="1" si="31"/>
        <v>-0.58858524086646413</v>
      </c>
      <c r="S41">
        <f t="shared" ca="1" si="31"/>
        <v>-0.58423710307872756</v>
      </c>
      <c r="T41">
        <f t="shared" ca="1" si="31"/>
        <v>-0.37622127523643167</v>
      </c>
      <c r="U41">
        <f t="shared" ca="1" si="31"/>
        <v>0.51726341806860199</v>
      </c>
      <c r="V41">
        <f t="shared" ca="1" si="31"/>
        <v>4.1244641397425958</v>
      </c>
      <c r="W41">
        <f t="shared" ca="1" si="31"/>
        <v>13.559992027164267</v>
      </c>
      <c r="X41">
        <f t="shared" ca="1" si="31"/>
        <v>27.620892789970029</v>
      </c>
      <c r="Y41">
        <f t="shared" ca="1" si="31"/>
        <v>41.022818117871886</v>
      </c>
      <c r="Z41">
        <f t="shared" ca="1" si="31"/>
        <v>51.313090552925502</v>
      </c>
      <c r="AA41">
        <f t="shared" ca="1" si="31"/>
        <v>59.200112996549265</v>
      </c>
      <c r="AB41">
        <f t="shared" ca="1" si="31"/>
        <v>65.725400462074177</v>
      </c>
      <c r="AC41">
        <f t="shared" ca="1" si="31"/>
        <v>71.531315612188394</v>
      </c>
      <c r="AD41">
        <f t="shared" ca="1" si="31"/>
        <v>76.926014477312705</v>
      </c>
      <c r="AE41">
        <f t="shared" ca="1" si="31"/>
        <v>82.040748177140543</v>
      </c>
      <c r="AF41">
        <f t="shared" ca="1" si="31"/>
        <v>86.926275364159594</v>
      </c>
      <c r="AG41">
        <f t="shared" ca="1" si="31"/>
        <v>91.599768937786408</v>
      </c>
      <c r="AH41">
        <f t="shared" ca="1" si="31"/>
        <v>96.065719920010679</v>
      </c>
      <c r="AI41">
        <f t="shared" ca="1" si="31"/>
        <v>100.30711231928316</v>
      </c>
    </row>
    <row r="42" spans="1:35">
      <c r="A42" s="1" t="s">
        <v>96</v>
      </c>
      <c r="B42" s="1">
        <f ca="1">SUMPRODUCT(lz/SUM(lz),len,ta1_)</f>
        <v>7.5418693629914415</v>
      </c>
      <c r="J42" s="8" t="s">
        <v>68</v>
      </c>
      <c r="K42">
        <f t="shared" ref="K42:AI42" ca="1" si="32">flt1_*qa1_+lz*wa*flt1_*flt3_/za*(sa-oa/za)</f>
        <v>-1.4909477171654149E-12</v>
      </c>
      <c r="L42">
        <f t="shared" ca="1" si="32"/>
        <v>-8.1966068647263201E-11</v>
      </c>
      <c r="M42">
        <f t="shared" ca="1" si="32"/>
        <v>-2.0096434432650297E-9</v>
      </c>
      <c r="N42">
        <f t="shared" ca="1" si="32"/>
        <v>-3.3753613031156636E-8</v>
      </c>
      <c r="O42">
        <f t="shared" ca="1" si="32"/>
        <v>-4.6964764675688515E-7</v>
      </c>
      <c r="P42">
        <f t="shared" ca="1" si="32"/>
        <v>-2.1767532227513499E-5</v>
      </c>
      <c r="Q42">
        <f t="shared" ca="1" si="32"/>
        <v>-3.8050023954722448E-3</v>
      </c>
      <c r="R42">
        <f t="shared" ca="1" si="32"/>
        <v>-2.2492118856489243E-2</v>
      </c>
      <c r="S42">
        <f t="shared" ca="1" si="32"/>
        <v>-5.0350403450007318E-2</v>
      </c>
      <c r="T42">
        <f t="shared" ca="1" si="32"/>
        <v>-1.3785355552449141E-2</v>
      </c>
      <c r="U42">
        <f t="shared" ca="1" si="32"/>
        <v>0.61393586270746248</v>
      </c>
      <c r="V42">
        <f t="shared" ca="1" si="32"/>
        <v>3.8989711949170029</v>
      </c>
      <c r="W42">
        <f t="shared" ca="1" si="32"/>
        <v>13.0758909642765</v>
      </c>
      <c r="X42">
        <f t="shared" ca="1" si="32"/>
        <v>27.054813430218193</v>
      </c>
      <c r="Y42">
        <f t="shared" ca="1" si="32"/>
        <v>40.517473185864155</v>
      </c>
      <c r="Z42">
        <f t="shared" ca="1" si="32"/>
        <v>50.880435174733805</v>
      </c>
      <c r="AA42">
        <f t="shared" ca="1" si="32"/>
        <v>58.85142861883859</v>
      </c>
      <c r="AB42">
        <f t="shared" ca="1" si="32"/>
        <v>65.452642773122307</v>
      </c>
      <c r="AC42">
        <f t="shared" ca="1" si="32"/>
        <v>71.321425931665175</v>
      </c>
      <c r="AD42">
        <f t="shared" ca="1" si="32"/>
        <v>76.766194737211734</v>
      </c>
      <c r="AE42">
        <f t="shared" ca="1" si="32"/>
        <v>81.919995147784377</v>
      </c>
      <c r="AF42">
        <f t="shared" ca="1" si="32"/>
        <v>86.835611346765333</v>
      </c>
      <c r="AG42">
        <f t="shared" ca="1" si="32"/>
        <v>91.532061010067196</v>
      </c>
      <c r="AH42">
        <f t="shared" ca="1" si="32"/>
        <v>96.01539345091895</v>
      </c>
      <c r="AI42">
        <f t="shared" ca="1" si="32"/>
        <v>100.17920330051072</v>
      </c>
    </row>
    <row r="43" spans="1:35">
      <c r="A43" s="1"/>
      <c r="B43" s="1"/>
      <c r="J43" s="8" t="s">
        <v>61</v>
      </c>
      <c r="K43">
        <f t="shared" ref="K43:AI43" ca="1" si="33">flt1_*qa1_+lz*wa*flt2_*flt3_/za*(sa-oa/za)</f>
        <v>-1.9984443309544709E-9</v>
      </c>
      <c r="L43">
        <f t="shared" ca="1" si="33"/>
        <v>-5.2316488769840664E-7</v>
      </c>
      <c r="M43">
        <f t="shared" ca="1" si="33"/>
        <v>-3.2869479863674092E-5</v>
      </c>
      <c r="N43">
        <f t="shared" ca="1" si="33"/>
        <v>-3.3587374823965235E-4</v>
      </c>
      <c r="O43">
        <f t="shared" ca="1" si="33"/>
        <v>-1.7110432560353897E-3</v>
      </c>
      <c r="P43">
        <f t="shared" ca="1" si="33"/>
        <v>-1.8794223075192684E-2</v>
      </c>
      <c r="Q43">
        <f t="shared" ca="1" si="33"/>
        <v>-0.32222012948367362</v>
      </c>
      <c r="R43">
        <f t="shared" ca="1" si="33"/>
        <v>-0.58858524086646413</v>
      </c>
      <c r="S43">
        <f t="shared" ca="1" si="33"/>
        <v>-0.58423710307872756</v>
      </c>
      <c r="T43">
        <f t="shared" ca="1" si="33"/>
        <v>-0.37622127523643167</v>
      </c>
      <c r="U43">
        <f t="shared" ca="1" si="33"/>
        <v>0.51726341806860199</v>
      </c>
      <c r="V43">
        <f t="shared" ca="1" si="33"/>
        <v>4.1244641397425958</v>
      </c>
      <c r="W43">
        <f t="shared" ca="1" si="33"/>
        <v>13.559992027164267</v>
      </c>
      <c r="X43">
        <f t="shared" ca="1" si="33"/>
        <v>27.620892789970029</v>
      </c>
      <c r="Y43">
        <f t="shared" ca="1" si="33"/>
        <v>41.022818117871886</v>
      </c>
      <c r="Z43">
        <f t="shared" ca="1" si="33"/>
        <v>51.313090552925502</v>
      </c>
      <c r="AA43">
        <f t="shared" ca="1" si="33"/>
        <v>59.200112996549265</v>
      </c>
      <c r="AB43">
        <f t="shared" ca="1" si="33"/>
        <v>65.725400462074177</v>
      </c>
      <c r="AC43">
        <f t="shared" ca="1" si="33"/>
        <v>71.531315612188394</v>
      </c>
      <c r="AD43">
        <f t="shared" ca="1" si="33"/>
        <v>76.926014477312705</v>
      </c>
      <c r="AE43">
        <f t="shared" ca="1" si="33"/>
        <v>82.040748177140543</v>
      </c>
      <c r="AF43">
        <f t="shared" ca="1" si="33"/>
        <v>86.926275364159594</v>
      </c>
      <c r="AG43">
        <f t="shared" ca="1" si="33"/>
        <v>91.599768937786408</v>
      </c>
      <c r="AH43">
        <f t="shared" ca="1" si="33"/>
        <v>96.065719920010679</v>
      </c>
      <c r="AI43">
        <f t="shared" ca="1" si="33"/>
        <v>100.30711231928316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0.26744988882645071</v>
      </c>
      <c r="G46" s="32" t="s">
        <v>94</v>
      </c>
      <c r="H46" s="32"/>
      <c r="I46" s="32"/>
      <c r="J46" s="8" t="s">
        <v>75</v>
      </c>
      <c r="K46">
        <f t="shared" ref="K46:AI46" ca="1" si="34">lz*qa1_</f>
        <v>1.8242112102753051E-7</v>
      </c>
      <c r="L46">
        <f t="shared" ca="1" si="34"/>
        <v>2.6497210212974857E-6</v>
      </c>
      <c r="M46">
        <f t="shared" ca="1" si="34"/>
        <v>1.7490402927884102E-5</v>
      </c>
      <c r="N46">
        <f t="shared" ca="1" si="34"/>
        <v>8.0746190141715174E-5</v>
      </c>
      <c r="O46">
        <f t="shared" ca="1" si="34"/>
        <v>3.08159301443433E-4</v>
      </c>
      <c r="P46">
        <f t="shared" ca="1" si="34"/>
        <v>1.4439658318602631E-3</v>
      </c>
      <c r="Q46">
        <f t="shared" ca="1" si="34"/>
        <v>1.5834320285367989E-2</v>
      </c>
      <c r="R46">
        <f t="shared" ca="1" si="34"/>
        <v>5.492409527527075E-2</v>
      </c>
      <c r="S46">
        <f t="shared" ca="1" si="34"/>
        <v>0.14634855299027025</v>
      </c>
      <c r="T46">
        <f t="shared" ca="1" si="34"/>
        <v>0.36124232891239821</v>
      </c>
      <c r="U46">
        <f t="shared" ca="1" si="34"/>
        <v>0.80395535718531963</v>
      </c>
      <c r="V46">
        <f t="shared" ca="1" si="34"/>
        <v>1.5054337988134912</v>
      </c>
      <c r="W46">
        <f t="shared" ca="1" si="34"/>
        <v>2.2023247980497773</v>
      </c>
      <c r="X46">
        <f t="shared" ca="1" si="34"/>
        <v>2.4945168947334548</v>
      </c>
      <c r="Y46">
        <f t="shared" ca="1" si="34"/>
        <v>2.3456011182602006</v>
      </c>
      <c r="Z46">
        <f t="shared" ca="1" si="34"/>
        <v>1.9856646634873161</v>
      </c>
      <c r="AA46">
        <f t="shared" ca="1" si="34"/>
        <v>1.5934170265202434</v>
      </c>
      <c r="AB46">
        <f t="shared" ca="1" si="34"/>
        <v>1.2443819202119695</v>
      </c>
      <c r="AC46">
        <f t="shared" ca="1" si="34"/>
        <v>0.95694842080359244</v>
      </c>
      <c r="AD46">
        <f t="shared" ca="1" si="34"/>
        <v>0.72848330794395799</v>
      </c>
      <c r="AE46">
        <f t="shared" ca="1" si="34"/>
        <v>0.55035823401198158</v>
      </c>
      <c r="AF46">
        <f t="shared" ca="1" si="34"/>
        <v>0.4132059276390519</v>
      </c>
      <c r="AG46">
        <f t="shared" ca="1" si="34"/>
        <v>0.30857827638214702</v>
      </c>
      <c r="AH46">
        <f t="shared" ca="1" si="34"/>
        <v>0.22936147070307975</v>
      </c>
      <c r="AI46">
        <f t="shared" ca="1" si="34"/>
        <v>0.58294137391872347</v>
      </c>
    </row>
    <row r="47" spans="1:35" ht="19" thickTop="1">
      <c r="A47" s="1" t="s">
        <v>41</v>
      </c>
      <c r="B47" s="11">
        <f ca="1">MAX(0,Ro*(reck-1/spr)/(reck-1))</f>
        <v>7627.6940231760227</v>
      </c>
      <c r="F47" t="s">
        <v>84</v>
      </c>
      <c r="G47" s="31">
        <f ca="1">G39/G53</f>
        <v>0.99999999999999956</v>
      </c>
      <c r="H47" s="31">
        <f ca="1">H53/H39</f>
        <v>0.30976621579733205</v>
      </c>
      <c r="I47" s="31">
        <f ca="1">I53/I39</f>
        <v>0.46539773453466093</v>
      </c>
      <c r="J47" s="8" t="s">
        <v>76</v>
      </c>
      <c r="K47">
        <f t="shared" ref="K47:AI47" ca="1" si="35">lz*qa2_</f>
        <v>1.8216199871384515E-4</v>
      </c>
      <c r="L47">
        <f t="shared" ca="1" si="35"/>
        <v>1.3318297988503782E-2</v>
      </c>
      <c r="M47">
        <f t="shared" ca="1" si="35"/>
        <v>0.23499273552420011</v>
      </c>
      <c r="N47">
        <f t="shared" ca="1" si="35"/>
        <v>0.6794556606791623</v>
      </c>
      <c r="O47">
        <f t="shared" ca="1" si="35"/>
        <v>0.97079549356399031</v>
      </c>
      <c r="P47">
        <f t="shared" ca="1" si="35"/>
        <v>1.1669691093351542</v>
      </c>
      <c r="Q47">
        <f t="shared" ca="1" si="35"/>
        <v>1.2808931973410231</v>
      </c>
      <c r="R47">
        <f t="shared" ca="1" si="35"/>
        <v>1.3045659736530826</v>
      </c>
      <c r="S47">
        <f t="shared" ca="1" si="35"/>
        <v>1.2579361019113446</v>
      </c>
      <c r="T47">
        <f t="shared" ca="1" si="35"/>
        <v>1.1654016643465674</v>
      </c>
      <c r="U47">
        <f t="shared" ca="1" si="35"/>
        <v>1.0404487169590602</v>
      </c>
      <c r="V47">
        <f t="shared" ca="1" si="35"/>
        <v>0.89072129588568405</v>
      </c>
      <c r="W47">
        <f t="shared" ca="1" si="35"/>
        <v>0.72635322421955784</v>
      </c>
      <c r="X47">
        <f t="shared" ca="1" si="35"/>
        <v>0.5647992258998823</v>
      </c>
      <c r="Y47">
        <f t="shared" ca="1" si="35"/>
        <v>0.42337302746282141</v>
      </c>
      <c r="Z47">
        <f t="shared" ca="1" si="35"/>
        <v>0.33731486884528872</v>
      </c>
      <c r="AA47">
        <f t="shared" ca="1" si="35"/>
        <v>0.26408651244178394</v>
      </c>
      <c r="AB47">
        <f t="shared" ca="1" si="35"/>
        <v>0.20423244635573851</v>
      </c>
      <c r="AC47">
        <f t="shared" ca="1" si="35"/>
        <v>0.15645732712919105</v>
      </c>
      <c r="AD47">
        <f t="shared" ca="1" si="35"/>
        <v>0.11892668467346118</v>
      </c>
      <c r="AE47">
        <f t="shared" ca="1" si="35"/>
        <v>8.9795585816485154E-2</v>
      </c>
      <c r="AF47">
        <f t="shared" ca="1" si="35"/>
        <v>6.7403279443191577E-2</v>
      </c>
      <c r="AG47">
        <f t="shared" ca="1" si="35"/>
        <v>5.0332129537411417E-2</v>
      </c>
      <c r="AH47">
        <f t="shared" ca="1" si="35"/>
        <v>3.7410152933735737E-2</v>
      </c>
      <c r="AI47">
        <f t="shared" ca="1" si="35"/>
        <v>9.5080653177346389E-2</v>
      </c>
    </row>
    <row r="48" spans="1:35">
      <c r="A48" s="1" t="s">
        <v>43</v>
      </c>
      <c r="B48" s="1">
        <f ca="1">f1_*re*phi_q1</f>
        <v>22652.798061534264</v>
      </c>
      <c r="C48" s="20">
        <f ca="1">ye_1/SUM(ye_1,ye_2,ye_3)</f>
        <v>0.55689535185944739</v>
      </c>
      <c r="F48" t="s">
        <v>85</v>
      </c>
      <c r="G48" s="31">
        <f ca="1">G40/G54</f>
        <v>3.2282410056436266</v>
      </c>
      <c r="H48" s="31">
        <f t="shared" ref="H48:I49" ca="1" si="36">H40/H54</f>
        <v>1</v>
      </c>
      <c r="I48" s="31">
        <f ca="1">I54/I40</f>
        <v>0.37376446232655797</v>
      </c>
      <c r="J48" s="8" t="s">
        <v>77</v>
      </c>
      <c r="K48">
        <f t="shared" ref="K48:AI48" ca="1" si="37">lz*qa3_</f>
        <v>1.4663693943141764E-6</v>
      </c>
      <c r="L48">
        <f t="shared" ca="1" si="37"/>
        <v>2.9737570010199408E-5</v>
      </c>
      <c r="M48">
        <f t="shared" ca="1" si="37"/>
        <v>2.7343962244015952E-4</v>
      </c>
      <c r="N48">
        <f t="shared" ca="1" si="37"/>
        <v>1.7435389904158292E-3</v>
      </c>
      <c r="O48">
        <f t="shared" ca="1" si="37"/>
        <v>9.1756227216768065E-3</v>
      </c>
      <c r="P48">
        <f t="shared" ca="1" si="37"/>
        <v>0.10968071945866681</v>
      </c>
      <c r="Q48">
        <f t="shared" ca="1" si="37"/>
        <v>2.0545135388669271</v>
      </c>
      <c r="R48">
        <f t="shared" ca="1" si="37"/>
        <v>4.1127489889822302</v>
      </c>
      <c r="S48">
        <f t="shared" ca="1" si="37"/>
        <v>4.5843386260411805</v>
      </c>
      <c r="T48">
        <f t="shared" ca="1" si="37"/>
        <v>4.3459392062116526</v>
      </c>
      <c r="U48">
        <f t="shared" ca="1" si="37"/>
        <v>3.8427000177883257</v>
      </c>
      <c r="V48">
        <f t="shared" ca="1" si="37"/>
        <v>3.2308596842713864</v>
      </c>
      <c r="W48">
        <f t="shared" ca="1" si="37"/>
        <v>2.5820446319089712</v>
      </c>
      <c r="X48">
        <f t="shared" ca="1" si="37"/>
        <v>1.9666103870064793</v>
      </c>
      <c r="Y48">
        <f t="shared" ca="1" si="37"/>
        <v>1.443769241236059</v>
      </c>
      <c r="Z48">
        <f t="shared" ca="1" si="37"/>
        <v>1.1502972571703796</v>
      </c>
      <c r="AA48">
        <f t="shared" ca="1" si="37"/>
        <v>0.90057693560139152</v>
      </c>
      <c r="AB48">
        <f t="shared" ca="1" si="37"/>
        <v>0.69646506740843894</v>
      </c>
      <c r="AC48">
        <f t="shared" ca="1" si="37"/>
        <v>0.53354432574231603</v>
      </c>
      <c r="AD48">
        <f t="shared" ca="1" si="37"/>
        <v>0.40555887634764648</v>
      </c>
      <c r="AE48">
        <f t="shared" ca="1" si="37"/>
        <v>0.30621720419352622</v>
      </c>
      <c r="AF48">
        <f t="shared" ca="1" si="37"/>
        <v>0.22985588430539422</v>
      </c>
      <c r="AG48">
        <f t="shared" ca="1" si="37"/>
        <v>0.17164055279455628</v>
      </c>
      <c r="AH48">
        <f t="shared" ca="1" si="37"/>
        <v>0.12757456099493164</v>
      </c>
      <c r="AI48">
        <f t="shared" ca="1" si="37"/>
        <v>0.32424012298738386</v>
      </c>
    </row>
    <row r="49" spans="1:47">
      <c r="A49" s="1" t="s">
        <v>44</v>
      </c>
      <c r="B49" s="1">
        <f ca="1">f2_*re*phi_q2</f>
        <v>10044.924588313945</v>
      </c>
      <c r="C49" s="20">
        <f ca="1">ye_2/SUM(ye_1,ye_2,ye_3)</f>
        <v>0.24694396682543118</v>
      </c>
      <c r="F49" t="s">
        <v>86</v>
      </c>
      <c r="G49" s="31">
        <f ca="1">G41/G55</f>
        <v>2.1486997589274339</v>
      </c>
      <c r="H49" s="31">
        <f t="shared" ca="1" si="36"/>
        <v>2.6754817560110888</v>
      </c>
      <c r="I49" s="31">
        <f t="shared" ca="1" si="36"/>
        <v>1.0000000000000002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7979.2159992132993</v>
      </c>
      <c r="C50" s="20">
        <f ca="1">ye_3/SUM(ye_1,ye_2,ye_3)</f>
        <v>0.1961606813151214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40676.938649061507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1081.543378353414</v>
      </c>
      <c r="H52" s="57">
        <f ca="1">H40^0.5</f>
        <v>335.76897170216159</v>
      </c>
      <c r="I52" s="11">
        <f ca="1">I41^0.5</f>
        <v>490.79817505585049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2.9698094853707939</v>
      </c>
      <c r="C53">
        <f ca="1">AVERAGE(B53:B55)/B53</f>
        <v>0.59855650118168335</v>
      </c>
      <c r="G53">
        <f ca="1">G$52*$J53</f>
        <v>1169736.0792601164</v>
      </c>
      <c r="H53">
        <f t="shared" ref="H53:I53" ca="1" si="38">H$52*$J53</f>
        <v>363148.70800100779</v>
      </c>
      <c r="I53">
        <f t="shared" ca="1" si="38"/>
        <v>530819.51633959496</v>
      </c>
      <c r="J53">
        <f t="array" aca="1" ref="J53:J55" ca="1">TRANSPOSE(G52:I52)</f>
        <v>1081.543378353414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1.3169018785747564</v>
      </c>
      <c r="C54">
        <f ca="1">AVERAGE(B53:B55)/B54</f>
        <v>1.3498338818253948</v>
      </c>
      <c r="G54">
        <f t="shared" ref="G54:I55" ca="1" si="39">G$52*$J54</f>
        <v>363148.70800100773</v>
      </c>
      <c r="H54">
        <f t="shared" ca="1" si="39"/>
        <v>112740.80235792699</v>
      </c>
      <c r="I54">
        <f ca="1">I$52*$J54</f>
        <v>164794.79855180043</v>
      </c>
      <c r="J54">
        <f ca="1"/>
        <v>335.76897170216159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1.0460849602736044</v>
      </c>
      <c r="C55">
        <f ca="1">AVERAGE(B53:B55)/B55</f>
        <v>1.6992871920028232</v>
      </c>
      <c r="G55">
        <f t="shared" ca="1" si="39"/>
        <v>530819.51633959485</v>
      </c>
      <c r="H55">
        <f t="shared" ca="1" si="39"/>
        <v>164794.79855180043</v>
      </c>
      <c r="I55">
        <f t="shared" ca="1" si="39"/>
        <v>240882.84863815326</v>
      </c>
      <c r="J55">
        <f ca="1"/>
        <v>490.79817505585049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5.2703068134737754E-2</v>
      </c>
      <c r="C56">
        <f ca="1">AVERAGE(B56:B58)/B56</f>
        <v>1.2806406936508457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0.11287558529348064</v>
      </c>
      <c r="C57">
        <f ca="1">AVERAGE(B56:B58)/B57</f>
        <v>0.59794767449588215</v>
      </c>
      <c r="G57">
        <f t="array" aca="1" ref="G57:I59" ca="1">MMULT($G$52:$I$52,TRANSPOSE($G$52:$I$52))</f>
        <v>1523359.7302561961</v>
      </c>
      <c r="H57">
        <f ca="1"/>
        <v>1523359.7302561961</v>
      </c>
      <c r="I57">
        <f ca="1"/>
        <v>1523359.7302561961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3.6902427772576615E-2</v>
      </c>
      <c r="C58">
        <f ca="1">AVERAGE(B56:B58)/B58</f>
        <v>1.8289770567278252</v>
      </c>
      <c r="G58">
        <f ca="1"/>
        <v>1523359.7302561961</v>
      </c>
      <c r="H58">
        <f ca="1"/>
        <v>1523359.7302561961</v>
      </c>
      <c r="I58">
        <f ca="1"/>
        <v>1523359.7302561961</v>
      </c>
      <c r="AL58" s="31"/>
      <c r="AM58" s="31"/>
      <c r="AN58" s="31"/>
      <c r="AO58" s="31"/>
      <c r="AP58" s="31"/>
    </row>
    <row r="59" spans="1:47">
      <c r="G59">
        <f ca="1"/>
        <v>1523359.7302561961</v>
      </c>
      <c r="H59">
        <f ca="1"/>
        <v>1523359.7302561961</v>
      </c>
      <c r="I59">
        <f ca="1"/>
        <v>1523359.7302561961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56.349840540181511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11.666844297203539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28.347320851637406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zoomScale="125" zoomScaleNormal="125" zoomScalePageLayoutView="125" workbookViewId="0">
      <pane xSplit="10" topLeftCell="K1" activePane="topRight" state="frozen"/>
      <selection pane="topRight" activeCell="B4" sqref="B4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74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ypr1/SUM(ypr1,ypr2,ypr3)</f>
        <v>0.51295924716123387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5">
        <v>0.33333000000000002</v>
      </c>
      <c r="C5" s="22">
        <f>ypr2/SUM(ypr1,ypr2,ypr3)</f>
        <v>0.22199193019336766</v>
      </c>
      <c r="J5" t="s">
        <v>3</v>
      </c>
      <c r="K5" s="9">
        <f>0.00000692*len^3.24</f>
        <v>0.21008315542734157</v>
      </c>
      <c r="L5" s="9">
        <f>0.00000692*len^3.24</f>
        <v>1.4070636823889766</v>
      </c>
      <c r="M5" s="9">
        <f>0.00000692*len^3.24</f>
        <v>3.761049268028144</v>
      </c>
      <c r="N5" s="9">
        <f>0.00000692*len^3.24</f>
        <v>6.9561880007027987</v>
      </c>
      <c r="O5" s="9">
        <f>0.00000692*len^3.24</f>
        <v>10.576009699103048</v>
      </c>
      <c r="P5" s="9">
        <f>0.00000692*len^3.24</f>
        <v>14.269475531777754</v>
      </c>
      <c r="Q5" s="9">
        <f>0.00000692*len^3.24</f>
        <v>17.794469983736594</v>
      </c>
      <c r="R5" s="9">
        <f>0.00000692*len^3.24</f>
        <v>21.009404638189356</v>
      </c>
      <c r="S5" s="9">
        <f>0.00000692*len^3.24</f>
        <v>23.848837915830781</v>
      </c>
      <c r="T5" s="9">
        <f>0.00000692*len^3.24</f>
        <v>26.298572013357866</v>
      </c>
      <c r="U5" s="9">
        <f>0.00000692*len^3.24</f>
        <v>28.375548581008292</v>
      </c>
      <c r="V5" s="9">
        <f>0.00000692*len^3.24</f>
        <v>30.113405824340219</v>
      </c>
      <c r="W5" s="9">
        <f>0.00000692*len^3.24</f>
        <v>31.552899518788422</v>
      </c>
      <c r="X5" s="9">
        <f>0.00000692*len^3.24</f>
        <v>32.735985286908267</v>
      </c>
      <c r="Y5" s="9">
        <f>0.00000692*len^3.24</f>
        <v>33.702449415644089</v>
      </c>
      <c r="Z5" s="9">
        <f>0.00000692*len^3.24</f>
        <v>34.488213758889593</v>
      </c>
      <c r="AA5" s="9">
        <f>0.00000692*len^3.24</f>
        <v>35.124684007454491</v>
      </c>
      <c r="AB5" s="9">
        <f>0.00000692*len^3.24</f>
        <v>35.638711327686863</v>
      </c>
      <c r="AC5" s="9">
        <f>0.00000692*len^3.24</f>
        <v>36.052886817020259</v>
      </c>
      <c r="AD5" s="9">
        <f>0.00000692*len^3.24</f>
        <v>36.385992986789851</v>
      </c>
      <c r="AE5" s="9">
        <f>0.00000692*len^3.24</f>
        <v>36.653506871136997</v>
      </c>
      <c r="AF5" s="9">
        <f>0.00000692*len^3.24</f>
        <v>36.868095058414958</v>
      </c>
      <c r="AG5" s="9">
        <f>0.00000692*len^3.24</f>
        <v>37.040069676485878</v>
      </c>
      <c r="AH5" s="9">
        <f>0.00000692*len^3.24</f>
        <v>37.177791822349739</v>
      </c>
      <c r="AI5" s="9">
        <f>0.00000692*len^3.24</f>
        <v>37.288019092348023</v>
      </c>
    </row>
    <row r="6" spans="1:35">
      <c r="A6" s="5">
        <v>3</v>
      </c>
      <c r="B6" s="25">
        <f>1-SUM(B4:B5)</f>
        <v>0.33333999999999997</v>
      </c>
      <c r="C6" s="22">
        <f>ypr3/SUM(ypr1,ypr2,ypr3)</f>
        <v>0.26504882264539859</v>
      </c>
      <c r="J6" t="s">
        <v>6</v>
      </c>
      <c r="K6" s="1">
        <f>EXP(-M*(age-1))</f>
        <v>1</v>
      </c>
      <c r="L6" s="1">
        <f t="shared" ref="L6:AH6" si="1">EXP(-M*(age-1))</f>
        <v>0.86070797642505781</v>
      </c>
      <c r="M6" s="1">
        <f t="shared" si="1"/>
        <v>0.74081822068171788</v>
      </c>
      <c r="N6" s="1">
        <f t="shared" si="1"/>
        <v>0.63762815162177333</v>
      </c>
      <c r="O6" s="1">
        <f t="shared" si="1"/>
        <v>0.54881163609402639</v>
      </c>
      <c r="P6" s="1">
        <f t="shared" si="1"/>
        <v>0.47236655274101469</v>
      </c>
      <c r="Q6" s="1">
        <f t="shared" si="1"/>
        <v>0.40656965974059917</v>
      </c>
      <c r="R6" s="1">
        <f t="shared" si="1"/>
        <v>0.34993774911115533</v>
      </c>
      <c r="S6" s="1">
        <f t="shared" si="1"/>
        <v>0.30119421191220214</v>
      </c>
      <c r="T6" s="1">
        <f t="shared" si="1"/>
        <v>0.25924026064589156</v>
      </c>
      <c r="U6" s="1">
        <f t="shared" si="1"/>
        <v>0.22313016014842982</v>
      </c>
      <c r="V6" s="1">
        <f t="shared" si="1"/>
        <v>0.19204990862075413</v>
      </c>
      <c r="W6" s="1">
        <f t="shared" si="1"/>
        <v>0.16529888822158656</v>
      </c>
      <c r="X6" s="1">
        <f t="shared" si="1"/>
        <v>0.14227407158651359</v>
      </c>
      <c r="Y6" s="1">
        <f t="shared" si="1"/>
        <v>0.12245642825298191</v>
      </c>
      <c r="Z6" s="1">
        <f t="shared" si="1"/>
        <v>0.10539922456186433</v>
      </c>
      <c r="AA6" s="1">
        <f t="shared" si="1"/>
        <v>9.0717953289412512E-2</v>
      </c>
      <c r="AB6" s="1">
        <f t="shared" si="1"/>
        <v>7.8081666001153169E-2</v>
      </c>
      <c r="AC6" s="1">
        <f t="shared" si="1"/>
        <v>6.7205512739749784E-2</v>
      </c>
      <c r="AD6" s="1">
        <f t="shared" si="1"/>
        <v>5.7844320874838456E-2</v>
      </c>
      <c r="AE6" s="1">
        <f t="shared" si="1"/>
        <v>4.9787068367863944E-2</v>
      </c>
      <c r="AF6" s="1">
        <f t="shared" si="1"/>
        <v>4.2852126867040187E-2</v>
      </c>
      <c r="AG6" s="1">
        <f t="shared" si="1"/>
        <v>3.6883167401240015E-2</v>
      </c>
      <c r="AH6" s="1">
        <f t="shared" si="1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0.39853353853408335</v>
      </c>
      <c r="J7" t="s">
        <v>7</v>
      </c>
      <c r="K7" s="1">
        <f>1</f>
        <v>1</v>
      </c>
      <c r="L7" s="1">
        <f>K7*EXP(-K8)</f>
        <v>0.86054415793688133</v>
      </c>
      <c r="M7" s="1">
        <f t="shared" ref="M7:AH7" si="2">L7*EXP(-L8)</f>
        <v>0.73915874319590891</v>
      </c>
      <c r="N7" s="1">
        <f t="shared" si="2"/>
        <v>0.628066272446412</v>
      </c>
      <c r="O7" s="1">
        <f t="shared" si="2"/>
        <v>0.50979818639246421</v>
      </c>
      <c r="P7" s="1">
        <f t="shared" si="2"/>
        <v>0.4085428040519124</v>
      </c>
      <c r="Q7" s="1">
        <f t="shared" si="2"/>
        <v>0.33285220354313017</v>
      </c>
      <c r="R7" s="1">
        <f t="shared" si="2"/>
        <v>0.27317852055960323</v>
      </c>
      <c r="S7" s="1">
        <f t="shared" si="2"/>
        <v>0.22001051455271572</v>
      </c>
      <c r="T7" s="1">
        <f t="shared" si="2"/>
        <v>0.17345725647293822</v>
      </c>
      <c r="U7" s="1">
        <f t="shared" si="2"/>
        <v>0.13671718634901517</v>
      </c>
      <c r="V7" s="1">
        <f t="shared" si="2"/>
        <v>0.1080446343710562</v>
      </c>
      <c r="W7" s="1">
        <f t="shared" si="2"/>
        <v>8.5577996967168238E-2</v>
      </c>
      <c r="X7" s="1">
        <f t="shared" si="2"/>
        <v>6.7902903840210638E-2</v>
      </c>
      <c r="Y7" s="1">
        <f t="shared" si="2"/>
        <v>5.3954476264730773E-2</v>
      </c>
      <c r="Z7" s="1">
        <f t="shared" si="2"/>
        <v>4.2921077516103197E-2</v>
      </c>
      <c r="AA7" s="1">
        <f t="shared" si="2"/>
        <v>3.4177490210006295E-2</v>
      </c>
      <c r="AB7" s="1">
        <f t="shared" si="2"/>
        <v>2.7238288454759212E-2</v>
      </c>
      <c r="AC7" s="1">
        <f t="shared" si="2"/>
        <v>2.1724395761727182E-2</v>
      </c>
      <c r="AD7" s="1">
        <f t="shared" si="2"/>
        <v>1.7338514588596185E-2</v>
      </c>
      <c r="AE7" s="1">
        <f t="shared" si="2"/>
        <v>1.3846730346166316E-2</v>
      </c>
      <c r="AF7" s="1">
        <f t="shared" si="2"/>
        <v>1.1064540303018603E-2</v>
      </c>
      <c r="AG7" s="1">
        <f t="shared" si="2"/>
        <v>8.8461296268382856E-3</v>
      </c>
      <c r="AH7" s="1">
        <f t="shared" si="2"/>
        <v>7.0760747604090412E-3</v>
      </c>
      <c r="AI7" s="1">
        <f>AH7*EXP(-AH8)/(1-EXP(-AI8))</f>
        <v>2.8406144267657418E-2</v>
      </c>
    </row>
    <row r="8" spans="1:35">
      <c r="A8" s="5"/>
      <c r="B8" s="26" t="s">
        <v>50</v>
      </c>
      <c r="C8" s="26">
        <f>SUMXMY2(B4:B7,C4:C7)</f>
        <v>4.932866763768682E-2</v>
      </c>
      <c r="J8" t="s">
        <v>11</v>
      </c>
      <c r="K8" s="1">
        <f>M+f1_*flt1_ +f2_*flt2_ +f3_*flt3_</f>
        <v>0.15019034804419501</v>
      </c>
      <c r="L8" s="1">
        <f t="shared" ref="L8:AI8" si="3">M+f1_*flt1_ +f2_*flt2_ +f3_*flt3_</f>
        <v>0.15205222494415588</v>
      </c>
      <c r="M8" s="1">
        <f t="shared" si="3"/>
        <v>0.16286701572015258</v>
      </c>
      <c r="N8" s="1">
        <f t="shared" si="3"/>
        <v>0.20863075582624724</v>
      </c>
      <c r="O8" s="1">
        <f t="shared" si="3"/>
        <v>0.22141824215592046</v>
      </c>
      <c r="P8" s="1">
        <f t="shared" si="3"/>
        <v>0.20489813403794466</v>
      </c>
      <c r="Q8" s="1">
        <f t="shared" si="3"/>
        <v>0.19757305531829089</v>
      </c>
      <c r="R8" s="1">
        <f t="shared" si="3"/>
        <v>0.21645016430350286</v>
      </c>
      <c r="S8" s="1">
        <f t="shared" si="3"/>
        <v>0.2377441299830419</v>
      </c>
      <c r="T8" s="1">
        <f t="shared" si="3"/>
        <v>0.23801674971216077</v>
      </c>
      <c r="U8" s="1">
        <f t="shared" si="3"/>
        <v>0.23537003597598016</v>
      </c>
      <c r="V8" s="1">
        <f t="shared" si="3"/>
        <v>0.23311621763059101</v>
      </c>
      <c r="W8" s="1">
        <f t="shared" si="3"/>
        <v>0.23134940525545092</v>
      </c>
      <c r="X8" s="1">
        <f t="shared" si="3"/>
        <v>0.2299381411962752</v>
      </c>
      <c r="Y8" s="1">
        <f t="shared" si="3"/>
        <v>0.22877763620944408</v>
      </c>
      <c r="Z8" s="1">
        <f t="shared" si="3"/>
        <v>0.22779577629039113</v>
      </c>
      <c r="AA8" s="1">
        <f t="shared" si="3"/>
        <v>0.22694359912839474</v>
      </c>
      <c r="AB8" s="1">
        <f t="shared" si="3"/>
        <v>0.22618778952435659</v>
      </c>
      <c r="AC8" s="1">
        <f t="shared" si="3"/>
        <v>0.22550555390672217</v>
      </c>
      <c r="AD8" s="1">
        <f t="shared" si="3"/>
        <v>0.22488117514499245</v>
      </c>
      <c r="AE8" s="1">
        <f t="shared" si="3"/>
        <v>0.22430370117459633</v>
      </c>
      <c r="AF8" s="1">
        <f t="shared" si="3"/>
        <v>0.22376539443703686</v>
      </c>
      <c r="AG8" s="1">
        <f t="shared" si="3"/>
        <v>0.2232606914716356</v>
      </c>
      <c r="AH8" s="1">
        <f t="shared" si="3"/>
        <v>0.22278550454895091</v>
      </c>
      <c r="AI8" s="1">
        <f t="shared" si="3"/>
        <v>0.22233675263783137</v>
      </c>
    </row>
    <row r="9" spans="1:35">
      <c r="A9" s="12" t="s">
        <v>73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4">EXP(-za)</f>
        <v>0.86054415793688133</v>
      </c>
      <c r="L10" s="1">
        <f t="shared" si="4"/>
        <v>0.85894342129753243</v>
      </c>
      <c r="M10" s="1">
        <f t="shared" si="4"/>
        <v>0.84970417819971233</v>
      </c>
      <c r="N10" s="1">
        <f t="shared" si="4"/>
        <v>0.81169489392691652</v>
      </c>
      <c r="O10" s="1">
        <f t="shared" si="4"/>
        <v>0.80138143868836531</v>
      </c>
      <c r="P10" s="1">
        <f t="shared" si="4"/>
        <v>0.81473030547084502</v>
      </c>
      <c r="Q10" s="1">
        <f t="shared" si="4"/>
        <v>0.82072018046353545</v>
      </c>
      <c r="R10" s="1">
        <f t="shared" si="4"/>
        <v>0.80537267023053849</v>
      </c>
      <c r="S10" s="1">
        <f t="shared" si="4"/>
        <v>0.78840439433351228</v>
      </c>
      <c r="T10" s="1">
        <f t="shared" si="4"/>
        <v>0.78818948903613595</v>
      </c>
      <c r="U10" s="1">
        <f t="shared" si="4"/>
        <v>0.79027836409123475</v>
      </c>
      <c r="V10" s="1">
        <f t="shared" si="4"/>
        <v>0.79206151666235358</v>
      </c>
      <c r="W10" s="1">
        <f t="shared" si="4"/>
        <v>0.79346217774016603</v>
      </c>
      <c r="X10" s="1">
        <f t="shared" si="4"/>
        <v>0.79458275292168135</v>
      </c>
      <c r="Y10" s="1">
        <f t="shared" si="4"/>
        <v>0.79550540543676929</v>
      </c>
      <c r="Z10" s="1">
        <f t="shared" si="4"/>
        <v>0.79628686388834324</v>
      </c>
      <c r="AA10" s="1">
        <f t="shared" si="4"/>
        <v>0.79696573058441078</v>
      </c>
      <c r="AB10" s="1">
        <f t="shared" si="4"/>
        <v>0.79756831262763817</v>
      </c>
      <c r="AC10" s="1">
        <f t="shared" si="4"/>
        <v>0.79811262779249326</v>
      </c>
      <c r="AD10" s="1">
        <f t="shared" si="4"/>
        <v>0.79861110797077905</v>
      </c>
      <c r="AE10" s="1">
        <f t="shared" si="4"/>
        <v>0.79907241828263043</v>
      </c>
      <c r="AF10" s="1">
        <f t="shared" si="4"/>
        <v>0.79950268014522974</v>
      </c>
      <c r="AG10" s="1">
        <f t="shared" si="4"/>
        <v>0.79990629336257157</v>
      </c>
      <c r="AH10" s="1">
        <f t="shared" si="4"/>
        <v>0.80028648869732222</v>
      </c>
      <c r="AI10" s="1">
        <f t="shared" si="4"/>
        <v>0.80064569938078045</v>
      </c>
    </row>
    <row r="11" spans="1:35">
      <c r="A11" s="5">
        <v>1</v>
      </c>
      <c r="B11" s="25">
        <v>0.33333000000000002</v>
      </c>
      <c r="C11" s="18">
        <f>mpr1_/SUM(mpr1_,mpr2_,mpr3_)</f>
        <v>0.33333013034783809</v>
      </c>
      <c r="J11" t="s">
        <v>56</v>
      </c>
      <c r="K11" s="1">
        <f>1-sa</f>
        <v>0.13945584206311867</v>
      </c>
      <c r="L11" s="1">
        <f t="shared" ref="L11:AI11" si="5">1-sa</f>
        <v>0.14105657870246757</v>
      </c>
      <c r="M11" s="1">
        <f t="shared" si="5"/>
        <v>0.15029582180028767</v>
      </c>
      <c r="N11" s="1">
        <f t="shared" si="5"/>
        <v>0.18830510607308348</v>
      </c>
      <c r="O11" s="1">
        <f t="shared" si="5"/>
        <v>0.19861856131163469</v>
      </c>
      <c r="P11" s="1">
        <f t="shared" si="5"/>
        <v>0.18526969452915498</v>
      </c>
      <c r="Q11" s="1">
        <f t="shared" si="5"/>
        <v>0.17927981953646455</v>
      </c>
      <c r="R11" s="1">
        <f t="shared" si="5"/>
        <v>0.19462732976946151</v>
      </c>
      <c r="S11" s="1">
        <f t="shared" si="5"/>
        <v>0.21159560566648772</v>
      </c>
      <c r="T11" s="1">
        <f t="shared" si="5"/>
        <v>0.21181051096386405</v>
      </c>
      <c r="U11" s="1">
        <f t="shared" si="5"/>
        <v>0.20972163590876525</v>
      </c>
      <c r="V11" s="1">
        <f t="shared" si="5"/>
        <v>0.20793848333764642</v>
      </c>
      <c r="W11" s="1">
        <f t="shared" si="5"/>
        <v>0.20653782225983397</v>
      </c>
      <c r="X11" s="1">
        <f t="shared" si="5"/>
        <v>0.20541724707831865</v>
      </c>
      <c r="Y11" s="1">
        <f t="shared" si="5"/>
        <v>0.20449459456323071</v>
      </c>
      <c r="Z11" s="1">
        <f t="shared" si="5"/>
        <v>0.20371313611165676</v>
      </c>
      <c r="AA11" s="1">
        <f t="shared" si="5"/>
        <v>0.20303426941558922</v>
      </c>
      <c r="AB11" s="1">
        <f t="shared" si="5"/>
        <v>0.20243168737236183</v>
      </c>
      <c r="AC11" s="1">
        <f t="shared" si="5"/>
        <v>0.20188737220750674</v>
      </c>
      <c r="AD11" s="1">
        <f t="shared" si="5"/>
        <v>0.20138889202922095</v>
      </c>
      <c r="AE11" s="1">
        <f t="shared" si="5"/>
        <v>0.20092758171736957</v>
      </c>
      <c r="AF11" s="1">
        <f t="shared" si="5"/>
        <v>0.20049731985477026</v>
      </c>
      <c r="AG11" s="1">
        <f t="shared" si="5"/>
        <v>0.20009370663742843</v>
      </c>
      <c r="AH11" s="1">
        <f t="shared" si="5"/>
        <v>0.19971351130267778</v>
      </c>
      <c r="AI11" s="1">
        <f t="shared" si="5"/>
        <v>0.19935430061921955</v>
      </c>
    </row>
    <row r="12" spans="1:35">
      <c r="A12" s="5">
        <v>2</v>
      </c>
      <c r="B12" s="25">
        <v>0.33333000000000002</v>
      </c>
      <c r="C12" s="18">
        <f>mpr2_/SUM(mpr1_,mpr2_,mpr3_)</f>
        <v>0.33332967926696411</v>
      </c>
      <c r="J12" t="s">
        <v>83</v>
      </c>
      <c r="K12">
        <f t="shared" ref="K12:AI12" si="6">1/(1+EXP(($E18-len)/2.5))</f>
        <v>9.0219231636339836E-11</v>
      </c>
      <c r="L12">
        <f t="shared" si="6"/>
        <v>2.0379495285720342E-7</v>
      </c>
      <c r="M12">
        <f t="shared" si="6"/>
        <v>9.7115913360032254E-5</v>
      </c>
      <c r="N12">
        <f t="shared" si="6"/>
        <v>1.318576895324936E-2</v>
      </c>
      <c r="O12">
        <f t="shared" si="6"/>
        <v>0.40532678130776134</v>
      </c>
      <c r="P12">
        <f t="shared" si="6"/>
        <v>0.94027757178671145</v>
      </c>
      <c r="Q12">
        <f t="shared" si="6"/>
        <v>0.99485021627773107</v>
      </c>
      <c r="R12">
        <f>1/(1+EXP(($E18-len)/2.5))</f>
        <v>0.99930134413757676</v>
      </c>
      <c r="S12">
        <f t="shared" si="6"/>
        <v>0.99985867337591106</v>
      </c>
      <c r="T12">
        <f t="shared" si="6"/>
        <v>0.99996056578257619</v>
      </c>
      <c r="U12">
        <f t="shared" si="6"/>
        <v>0.99998577046319925</v>
      </c>
      <c r="V12">
        <f t="shared" si="6"/>
        <v>0.99999369483673073</v>
      </c>
      <c r="W12">
        <f t="shared" si="6"/>
        <v>0.99999670827258202</v>
      </c>
      <c r="X12">
        <f t="shared" si="6"/>
        <v>0.9999980410459387</v>
      </c>
      <c r="Y12">
        <f t="shared" si="6"/>
        <v>0.99999870568843641</v>
      </c>
      <c r="Z12">
        <f t="shared" si="6"/>
        <v>0.99999907035426383</v>
      </c>
      <c r="AA12">
        <f t="shared" si="6"/>
        <v>0.99999928623767509</v>
      </c>
      <c r="AB12">
        <f t="shared" si="6"/>
        <v>0.99999942202001402</v>
      </c>
      <c r="AC12">
        <f t="shared" si="6"/>
        <v>0.99999951164446932</v>
      </c>
      <c r="AD12">
        <f t="shared" si="6"/>
        <v>0.99999957312243282</v>
      </c>
      <c r="AE12">
        <f t="shared" si="6"/>
        <v>0.99999961660732639</v>
      </c>
      <c r="AF12">
        <f t="shared" si="6"/>
        <v>0.99999964812742281</v>
      </c>
      <c r="AG12">
        <f t="shared" si="6"/>
        <v>0.99999967142539492</v>
      </c>
      <c r="AH12">
        <f t="shared" si="6"/>
        <v>0.99999968891648572</v>
      </c>
      <c r="AI12">
        <f t="shared" si="6"/>
        <v>0.99999970221237355</v>
      </c>
    </row>
    <row r="13" spans="1:35">
      <c r="A13" s="5">
        <v>3</v>
      </c>
      <c r="B13" s="25">
        <f>1-SUM(B11:B12)</f>
        <v>0.33333999999999997</v>
      </c>
      <c r="C13" s="18">
        <f>mpr3_/SUM(mpr1_,mpr2_,mpr3_)</f>
        <v>0.3333401903851978</v>
      </c>
    </row>
    <row r="14" spans="1:35">
      <c r="A14" s="27" t="s">
        <v>49</v>
      </c>
      <c r="B14" s="30">
        <v>0.4</v>
      </c>
      <c r="C14" s="29">
        <f>spr</f>
        <v>0.39853353853408335</v>
      </c>
    </row>
    <row r="15" spans="1:35">
      <c r="A15" s="5"/>
      <c r="B15" s="26" t="s">
        <v>50</v>
      </c>
      <c r="C15" s="26">
        <f>SUMXMY2(B11:B14,C11:C14)</f>
        <v>2.1505093871252273E-6</v>
      </c>
    </row>
    <row r="17" spans="1:35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100</v>
      </c>
      <c r="E18">
        <v>82</v>
      </c>
      <c r="F18">
        <v>0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>((EXP(g*(ah-age)/gh)/(1+EXP((ah-age)/gh))) *(1/(1-g))*((1-g)/g)^g) *(sr+(1-sr)*dmr)</f>
        <v>2.2660841037912323E-18</v>
      </c>
      <c r="L18" s="4">
        <f t="shared" ref="L18:AI18" si="7">((EXP(g*(ah-age)/gh)/(1+EXP((ah-age)/gh))) *(1/(1-g))*((1-g)/g)^g) *(sr+(1-sr)*dmr)</f>
        <v>6.2358484195451125E-14</v>
      </c>
      <c r="M18" s="4">
        <f t="shared" si="7"/>
        <v>3.6200651492535513E-10</v>
      </c>
      <c r="N18" s="4">
        <f t="shared" si="7"/>
        <v>5.9874058650038687E-7</v>
      </c>
      <c r="O18" s="4">
        <f t="shared" si="7"/>
        <v>2.2410083031335602E-4</v>
      </c>
      <c r="P18" s="4">
        <f t="shared" si="7"/>
        <v>6.2942398241139993E-3</v>
      </c>
      <c r="Q18" s="4">
        <f t="shared" si="7"/>
        <v>7.547885753086013E-2</v>
      </c>
      <c r="R18" s="4">
        <f t="shared" si="7"/>
        <v>0.49971319687174481</v>
      </c>
      <c r="S18" s="4">
        <f t="shared" si="7"/>
        <v>0.92410373927527512</v>
      </c>
      <c r="T18" s="4">
        <f t="shared" si="7"/>
        <v>0.99334260502214955</v>
      </c>
      <c r="U18" s="4">
        <f t="shared" si="7"/>
        <v>0.99948310172921173</v>
      </c>
      <c r="V18" s="4">
        <f t="shared" si="7"/>
        <v>0.99997342547539469</v>
      </c>
      <c r="W18" s="4">
        <f t="shared" si="7"/>
        <v>0.99999311084931608</v>
      </c>
      <c r="X18" s="4">
        <f t="shared" si="7"/>
        <v>0.99997286471456404</v>
      </c>
      <c r="Y18" s="4">
        <f t="shared" si="7"/>
        <v>0.99994881109245382</v>
      </c>
      <c r="Z18" s="4">
        <f t="shared" si="7"/>
        <v>0.99992420037026464</v>
      </c>
      <c r="AA18" s="4">
        <f t="shared" si="7"/>
        <v>0.99989942033135415</v>
      </c>
      <c r="AB18" s="4">
        <f t="shared" si="7"/>
        <v>0.99987455907897871</v>
      </c>
      <c r="AC18" s="4">
        <f t="shared" si="7"/>
        <v>0.99984965215123045</v>
      </c>
      <c r="AD18" s="4">
        <f t="shared" si="7"/>
        <v>0.99982471769063697</v>
      </c>
      <c r="AE18" s="4">
        <f t="shared" si="7"/>
        <v>0.99979976586142616</v>
      </c>
      <c r="AF18" s="4">
        <f t="shared" si="7"/>
        <v>0.99977480269273089</v>
      </c>
      <c r="AG18" s="4">
        <f t="shared" si="7"/>
        <v>0.99974983192724243</v>
      </c>
      <c r="AH18" s="4">
        <f t="shared" si="7"/>
        <v>0.99972485598014738</v>
      </c>
      <c r="AI18" s="4">
        <f t="shared" si="7"/>
        <v>0.99969987646306058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4</v>
      </c>
      <c r="H19" s="3">
        <v>0.05</v>
      </c>
      <c r="I19" s="7">
        <v>0.02</v>
      </c>
      <c r="J19" s="8" t="s">
        <v>17</v>
      </c>
      <c r="K19" s="4">
        <f t="shared" ref="K19:T20" si="8">(EXP(g*(ah-age)/gh)/(1+EXP((ah-age)/gh))) *(1/(1-g))*((1-g)/g)^g</f>
        <v>3.2067293740165511E-26</v>
      </c>
      <c r="L19" s="4">
        <f t="shared" si="8"/>
        <v>1.042879559395233E-17</v>
      </c>
      <c r="M19" s="4">
        <f t="shared" si="8"/>
        <v>3.3916107232972742E-9</v>
      </c>
      <c r="N19" s="4">
        <f t="shared" si="8"/>
        <v>0.55150296322207493</v>
      </c>
      <c r="O19" s="4">
        <f t="shared" si="8"/>
        <v>0.73936698186767658</v>
      </c>
      <c r="P19" s="4">
        <f t="shared" si="8"/>
        <v>0.49561251034430615</v>
      </c>
      <c r="Q19" s="4">
        <f t="shared" si="8"/>
        <v>0.33221900074983407</v>
      </c>
      <c r="R19" s="4">
        <f t="shared" si="8"/>
        <v>0.22269305587654287</v>
      </c>
      <c r="S19" s="4">
        <f t="shared" si="8"/>
        <v>0.1492756194669814</v>
      </c>
      <c r="T19" s="4">
        <f t="shared" si="8"/>
        <v>0.10006244011310554</v>
      </c>
      <c r="U19" s="4">
        <f t="shared" ref="U19:AI20" si="9">(EXP(g*(ah-age)/gh)/(1+EXP((ah-age)/gh))) *(1/(1-g))*((1-g)/g)^g</f>
        <v>6.7073859463055288E-2</v>
      </c>
      <c r="V19" s="4">
        <f t="shared" si="9"/>
        <v>4.4960952563063247E-2</v>
      </c>
      <c r="W19" s="4">
        <f t="shared" si="9"/>
        <v>3.013822779187875E-2</v>
      </c>
      <c r="X19" s="4">
        <f t="shared" si="9"/>
        <v>2.020225824088474E-2</v>
      </c>
      <c r="Y19" s="4">
        <f t="shared" si="9"/>
        <v>1.3541978674053741E-2</v>
      </c>
      <c r="Z19" s="4">
        <f t="shared" si="9"/>
        <v>9.0774597682053461E-3</v>
      </c>
      <c r="AA19" s="4">
        <f t="shared" si="9"/>
        <v>6.0848032497100683E-3</v>
      </c>
      <c r="AB19" s="4">
        <f t="shared" si="9"/>
        <v>4.07876559446346E-3</v>
      </c>
      <c r="AC19" s="4">
        <f t="shared" si="9"/>
        <v>2.734078341049332E-3</v>
      </c>
      <c r="AD19" s="4">
        <f t="shared" si="9"/>
        <v>1.832707519437232E-3</v>
      </c>
      <c r="AE19" s="4">
        <f t="shared" si="9"/>
        <v>1.2285005887990271E-3</v>
      </c>
      <c r="AF19" s="4">
        <f t="shared" si="9"/>
        <v>8.2348857123857417E-4</v>
      </c>
      <c r="AG19" s="4">
        <f t="shared" si="9"/>
        <v>5.5200089698246365E-4</v>
      </c>
      <c r="AH19" s="4">
        <f t="shared" si="9"/>
        <v>3.7001726667699921E-4</v>
      </c>
      <c r="AI19" s="4">
        <f t="shared" si="9"/>
        <v>2.4802999123290785E-4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 t="shared" si="8"/>
        <v>8.1586526895818766E-3</v>
      </c>
      <c r="L20" s="4">
        <f t="shared" si="8"/>
        <v>8.7961978443441266E-2</v>
      </c>
      <c r="M20" s="4">
        <f t="shared" si="8"/>
        <v>0.55150296322207493</v>
      </c>
      <c r="N20" s="4">
        <f t="shared" si="8"/>
        <v>0.96962040317224751</v>
      </c>
      <c r="O20" s="4">
        <f t="shared" si="8"/>
        <v>0.99136129470144307</v>
      </c>
      <c r="P20" s="4">
        <f t="shared" si="8"/>
        <v>0.94884120969175767</v>
      </c>
      <c r="Q20" s="4">
        <f t="shared" si="8"/>
        <v>0.90302387558657016</v>
      </c>
      <c r="R20" s="4">
        <f t="shared" si="8"/>
        <v>0.85901867798242304</v>
      </c>
      <c r="S20" s="4">
        <f t="shared" si="8"/>
        <v>0.81712663786881001</v>
      </c>
      <c r="T20" s="4">
        <f t="shared" si="8"/>
        <v>0.77727511973697594</v>
      </c>
      <c r="U20" s="4">
        <f t="shared" si="9"/>
        <v>0.73936698186767658</v>
      </c>
      <c r="V20" s="4">
        <f t="shared" si="9"/>
        <v>0.70330762998745233</v>
      </c>
      <c r="W20" s="4">
        <f t="shared" si="9"/>
        <v>0.66900691222382347</v>
      </c>
      <c r="X20" s="4">
        <f t="shared" si="9"/>
        <v>0.63637906010977985</v>
      </c>
      <c r="Y20" s="4">
        <f t="shared" si="9"/>
        <v>0.60534248711316452</v>
      </c>
      <c r="Z20" s="4">
        <f t="shared" si="9"/>
        <v>0.57581958564253577</v>
      </c>
      <c r="AA20" s="4">
        <f t="shared" si="9"/>
        <v>0.54773653306699277</v>
      </c>
      <c r="AB20" s="4">
        <f t="shared" si="9"/>
        <v>0.52102310712733224</v>
      </c>
      <c r="AC20" s="4">
        <f t="shared" si="9"/>
        <v>0.49561251034430615</v>
      </c>
      <c r="AD20" s="4">
        <f t="shared" si="9"/>
        <v>0.47144120299016851</v>
      </c>
      <c r="AE20" s="4">
        <f t="shared" si="9"/>
        <v>0.4484487442062623</v>
      </c>
      <c r="AF20" s="4">
        <f t="shared" si="9"/>
        <v>0.42657764086939076</v>
      </c>
      <c r="AG20" s="4">
        <f t="shared" si="9"/>
        <v>0.40577320382906285</v>
      </c>
      <c r="AH20" s="4">
        <f t="shared" si="9"/>
        <v>0.38598341115613044</v>
      </c>
      <c r="AI20" s="4">
        <f t="shared" si="9"/>
        <v>0.36715877806086844</v>
      </c>
    </row>
    <row r="21" spans="1:35">
      <c r="A21" t="s">
        <v>42</v>
      </c>
      <c r="B21" s="1">
        <f>Bo/phie</f>
        <v>2.0910291228819919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si="10">wa*flt1_*(1-EXP(-za))/za</f>
        <v>4.4204038126716157E-19</v>
      </c>
      <c r="L22" s="1">
        <f t="shared" si="10"/>
        <v>8.1397275756865859E-14</v>
      </c>
      <c r="M22" s="1">
        <f t="shared" si="10"/>
        <v>1.2564325463519298E-9</v>
      </c>
      <c r="N22" s="1">
        <f t="shared" si="10"/>
        <v>3.7591856518857484E-6</v>
      </c>
      <c r="O22" s="1">
        <f t="shared" si="10"/>
        <v>2.1260415079633905E-3</v>
      </c>
      <c r="P22" s="1">
        <f t="shared" si="10"/>
        <v>8.1211527583077509E-2</v>
      </c>
      <c r="Q22" s="1">
        <f t="shared" si="10"/>
        <v>1.2187484187704531</v>
      </c>
      <c r="R22" s="1">
        <f t="shared" si="10"/>
        <v>9.4401842092923935</v>
      </c>
      <c r="S22" s="1">
        <f t="shared" si="10"/>
        <v>19.614840951060593</v>
      </c>
      <c r="T22" s="1">
        <f t="shared" si="10"/>
        <v>23.247230298596349</v>
      </c>
      <c r="U22" s="1">
        <f t="shared" si="10"/>
        <v>25.270380740170985</v>
      </c>
      <c r="V22" s="1">
        <f t="shared" si="10"/>
        <v>26.860291386981505</v>
      </c>
      <c r="W22" s="1">
        <f t="shared" si="10"/>
        <v>28.16874437052644</v>
      </c>
      <c r="X22" s="1">
        <f t="shared" si="10"/>
        <v>29.244184852698897</v>
      </c>
      <c r="Y22" s="1">
        <f t="shared" si="10"/>
        <v>30.12364342457245</v>
      </c>
      <c r="Z22" s="1">
        <f t="shared" si="10"/>
        <v>30.839771274480682</v>
      </c>
      <c r="AA22" s="1">
        <f t="shared" si="10"/>
        <v>31.421010761804673</v>
      </c>
      <c r="AB22" s="1">
        <f t="shared" si="10"/>
        <v>31.891639701099198</v>
      </c>
      <c r="AC22" s="1">
        <f t="shared" si="10"/>
        <v>32.272057732760956</v>
      </c>
      <c r="AD22" s="1">
        <f t="shared" si="10"/>
        <v>32.579207156794922</v>
      </c>
      <c r="AE22" s="1">
        <f t="shared" si="10"/>
        <v>32.827036709872118</v>
      </c>
      <c r="AF22" s="1">
        <f t="shared" si="10"/>
        <v>33.026954939856068</v>
      </c>
      <c r="AG22" s="1">
        <f t="shared" si="10"/>
        <v>33.188245857154953</v>
      </c>
      <c r="AH22" s="1">
        <f t="shared" si="10"/>
        <v>33.318435342079908</v>
      </c>
      <c r="AI22" s="1">
        <f t="shared" si="10"/>
        <v>33.42360587289258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si="11">wa*flt2_*(1-EXP(-za))/za</f>
        <v>6.2553012606167289E-27</v>
      </c>
      <c r="L23" s="1">
        <f t="shared" si="11"/>
        <v>1.3612831705663053E-17</v>
      </c>
      <c r="M23" s="1">
        <f t="shared" si="11"/>
        <v>1.1771418252474215E-8</v>
      </c>
      <c r="N23" s="1">
        <f t="shared" si="11"/>
        <v>3.4626047959011346</v>
      </c>
      <c r="O23" s="1">
        <f t="shared" si="11"/>
        <v>7.0143644308247435</v>
      </c>
      <c r="P23" s="1">
        <f t="shared" si="11"/>
        <v>6.3946481511785365</v>
      </c>
      <c r="Q23" s="1">
        <f t="shared" si="11"/>
        <v>5.3643019395705247</v>
      </c>
      <c r="R23" s="1">
        <f t="shared" si="11"/>
        <v>4.2069400663524412</v>
      </c>
      <c r="S23" s="1">
        <f t="shared" si="11"/>
        <v>3.1684944116903706</v>
      </c>
      <c r="T23" s="1">
        <f t="shared" si="11"/>
        <v>2.3417646417139242</v>
      </c>
      <c r="U23" s="1">
        <f t="shared" si="11"/>
        <v>1.6958585526975183</v>
      </c>
      <c r="V23" s="1">
        <f t="shared" si="11"/>
        <v>1.2076963808373202</v>
      </c>
      <c r="W23" s="1">
        <f t="shared" si="11"/>
        <v>0.84896188307646547</v>
      </c>
      <c r="X23" s="1">
        <f t="shared" si="11"/>
        <v>0.59081460636137628</v>
      </c>
      <c r="Y23" s="1">
        <f t="shared" si="11"/>
        <v>0.40795461959166462</v>
      </c>
      <c r="Z23" s="1">
        <f t="shared" si="11"/>
        <v>0.27996800447583037</v>
      </c>
      <c r="AA23" s="1">
        <f t="shared" si="11"/>
        <v>0.19120990022101014</v>
      </c>
      <c r="AB23" s="1">
        <f t="shared" si="11"/>
        <v>0.13009484198066656</v>
      </c>
      <c r="AC23" s="1">
        <f t="shared" si="11"/>
        <v>8.8247601905340894E-2</v>
      </c>
      <c r="AD23" s="1">
        <f t="shared" si="11"/>
        <v>5.9718625552160114E-2</v>
      </c>
      <c r="AE23" s="1">
        <f t="shared" si="11"/>
        <v>4.0336110592963173E-2</v>
      </c>
      <c r="AF23" s="1">
        <f t="shared" si="11"/>
        <v>2.720344607858818E-2</v>
      </c>
      <c r="AG23" s="1">
        <f t="shared" si="11"/>
        <v>1.8324525693701056E-2</v>
      </c>
      <c r="AH23" s="1">
        <f t="shared" si="11"/>
        <v>1.2331789393336396E-2</v>
      </c>
      <c r="AI23" s="1">
        <f t="shared" si="11"/>
        <v>8.2925454596993117E-3</v>
      </c>
    </row>
    <row r="24" spans="1:35">
      <c r="B24" s="1"/>
      <c r="J24" s="8" t="s">
        <v>25</v>
      </c>
      <c r="K24" s="1">
        <f t="shared" ref="K24:AI24" si="12">wa*flt3_*(1-EXP(-za))/za</f>
        <v>1.5914916571257928E-3</v>
      </c>
      <c r="L24" s="1">
        <f t="shared" si="12"/>
        <v>0.11481782323378815</v>
      </c>
      <c r="M24" s="1">
        <f t="shared" si="12"/>
        <v>1.9141265248903765</v>
      </c>
      <c r="N24" s="1">
        <f t="shared" si="12"/>
        <v>6.0877501702123755</v>
      </c>
      <c r="O24" s="1">
        <f t="shared" si="12"/>
        <v>9.4050310254382889</v>
      </c>
      <c r="P24" s="1">
        <f t="shared" si="12"/>
        <v>12.242438519363157</v>
      </c>
      <c r="Q24" s="1">
        <f t="shared" si="12"/>
        <v>14.581022507304466</v>
      </c>
      <c r="R24" s="1">
        <f t="shared" si="12"/>
        <v>16.227897542314075</v>
      </c>
      <c r="S24" s="1">
        <f t="shared" si="12"/>
        <v>17.344166414953957</v>
      </c>
      <c r="T24" s="1">
        <f t="shared" si="12"/>
        <v>18.190595694313966</v>
      </c>
      <c r="U24" s="1">
        <f t="shared" si="12"/>
        <v>18.693747904473653</v>
      </c>
      <c r="V24" s="1">
        <f t="shared" si="12"/>
        <v>18.89154991010826</v>
      </c>
      <c r="W24" s="1">
        <f t="shared" si="12"/>
        <v>18.845214520070602</v>
      </c>
      <c r="X24" s="1">
        <f t="shared" si="12"/>
        <v>18.610891882100624</v>
      </c>
      <c r="Y24" s="1">
        <f t="shared" si="12"/>
        <v>18.236054715259638</v>
      </c>
      <c r="Z24" s="1">
        <f t="shared" si="12"/>
        <v>17.75949047938467</v>
      </c>
      <c r="AA24" s="1">
        <f t="shared" si="12"/>
        <v>17.212166694154334</v>
      </c>
      <c r="AB24" s="1">
        <f t="shared" si="12"/>
        <v>16.618365831567871</v>
      </c>
      <c r="AC24" s="1">
        <f t="shared" si="12"/>
        <v>15.99684063748699</v>
      </c>
      <c r="AD24" s="1">
        <f t="shared" si="12"/>
        <v>15.361873279089806</v>
      </c>
      <c r="AE24" s="1">
        <f t="shared" si="12"/>
        <v>14.724191674391143</v>
      </c>
      <c r="AF24" s="1">
        <f t="shared" si="12"/>
        <v>14.091733943882389</v>
      </c>
      <c r="AG24" s="1">
        <f t="shared" si="12"/>
        <v>13.470270682580573</v>
      </c>
      <c r="AH24" s="1">
        <f t="shared" si="12"/>
        <v>12.863902753635607</v>
      </c>
      <c r="AI24" s="1">
        <f t="shared" si="12"/>
        <v>12.275454443484424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2.1041210104064897E-18</v>
      </c>
      <c r="L26">
        <f t="shared" ref="L26:AI26" si="13">qa1_/wa</f>
        <v>5.7849034678136147E-14</v>
      </c>
      <c r="M26">
        <f t="shared" si="13"/>
        <v>3.3406436789663662E-10</v>
      </c>
      <c r="N26">
        <f t="shared" si="13"/>
        <v>5.404088635192076E-7</v>
      </c>
      <c r="O26">
        <f t="shared" si="13"/>
        <v>2.0102492040487634E-4</v>
      </c>
      <c r="P26">
        <f t="shared" si="13"/>
        <v>5.6912762772690232E-3</v>
      </c>
      <c r="Q26">
        <f t="shared" si="13"/>
        <v>6.8490290516342353E-2</v>
      </c>
      <c r="R26">
        <f t="shared" si="13"/>
        <v>0.44933135288054371</v>
      </c>
      <c r="S26">
        <f t="shared" si="13"/>
        <v>0.82246527148563175</v>
      </c>
      <c r="T26">
        <f t="shared" si="13"/>
        <v>0.88397310267600671</v>
      </c>
      <c r="U26">
        <f t="shared" si="13"/>
        <v>0.89056888778828436</v>
      </c>
      <c r="V26">
        <f t="shared" si="13"/>
        <v>0.8919712218426894</v>
      </c>
      <c r="W26">
        <f t="shared" si="13"/>
        <v>0.89274661917371934</v>
      </c>
      <c r="X26">
        <f t="shared" si="13"/>
        <v>0.89333449402527054</v>
      </c>
      <c r="Y26">
        <f t="shared" si="13"/>
        <v>0.89381169460607746</v>
      </c>
      <c r="Z26">
        <f t="shared" si="13"/>
        <v>0.89421190352404101</v>
      </c>
      <c r="AA26">
        <f t="shared" si="13"/>
        <v>0.89455639672477083</v>
      </c>
      <c r="AB26">
        <f t="shared" si="13"/>
        <v>0.89485950846722517</v>
      </c>
      <c r="AC26">
        <f t="shared" si="13"/>
        <v>0.89513103060378496</v>
      </c>
      <c r="AD26">
        <f t="shared" si="13"/>
        <v>0.89537771220433626</v>
      </c>
      <c r="AE26">
        <f t="shared" si="13"/>
        <v>0.89560425487477557</v>
      </c>
      <c r="AF26">
        <f t="shared" si="13"/>
        <v>0.89581397920145134</v>
      </c>
      <c r="AG26">
        <f t="shared" si="13"/>
        <v>0.89600927177045309</v>
      </c>
      <c r="AH26">
        <f t="shared" si="13"/>
        <v>0.8961918852332228</v>
      </c>
      <c r="AI26">
        <f t="shared" si="13"/>
        <v>0.89636313986310767</v>
      </c>
    </row>
    <row r="27" spans="1:35">
      <c r="A27" t="s">
        <v>14</v>
      </c>
      <c r="B27" s="28">
        <v>6.3773583469518225E-2</v>
      </c>
      <c r="C27" s="36">
        <v>0.90209129860381354</v>
      </c>
      <c r="J27" s="8" t="s">
        <v>31</v>
      </c>
      <c r="K27">
        <f t="shared" ref="K27:AI27" si="14">qa2_/wa</f>
        <v>2.9775358466472383E-26</v>
      </c>
      <c r="L27">
        <f t="shared" si="14"/>
        <v>9.6746379542328672E-18</v>
      </c>
      <c r="M27">
        <f t="shared" si="14"/>
        <v>3.1298229333341796E-9</v>
      </c>
      <c r="N27">
        <f t="shared" si="14"/>
        <v>0.4977733200355281</v>
      </c>
      <c r="O27">
        <f t="shared" si="14"/>
        <v>0.66323354747108754</v>
      </c>
      <c r="P27">
        <f t="shared" si="14"/>
        <v>0.44813477110198058</v>
      </c>
      <c r="Q27">
        <f t="shared" si="14"/>
        <v>0.30145893327945555</v>
      </c>
      <c r="R27">
        <f t="shared" si="14"/>
        <v>0.20024080352593018</v>
      </c>
      <c r="S27">
        <f t="shared" si="14"/>
        <v>0.1328573921661455</v>
      </c>
      <c r="T27">
        <f t="shared" si="14"/>
        <v>8.9045315484219775E-2</v>
      </c>
      <c r="U27">
        <f t="shared" si="14"/>
        <v>5.9764784735564673E-2</v>
      </c>
      <c r="V27">
        <f t="shared" si="14"/>
        <v>4.0104941562643076E-2</v>
      </c>
      <c r="W27">
        <f t="shared" si="14"/>
        <v>2.6905986328481301E-2</v>
      </c>
      <c r="X27">
        <f t="shared" si="14"/>
        <v>1.8047863877726451E-2</v>
      </c>
      <c r="Y27">
        <f t="shared" si="14"/>
        <v>1.2104598528150278E-2</v>
      </c>
      <c r="Z27">
        <f t="shared" si="14"/>
        <v>8.1177879038071814E-3</v>
      </c>
      <c r="AA27">
        <f t="shared" si="14"/>
        <v>5.4437472001293953E-3</v>
      </c>
      <c r="AB27">
        <f t="shared" si="14"/>
        <v>3.6503800820541733E-3</v>
      </c>
      <c r="AC27">
        <f t="shared" si="14"/>
        <v>2.4477263735696183E-3</v>
      </c>
      <c r="AD27">
        <f t="shared" si="14"/>
        <v>1.6412531485355177E-3</v>
      </c>
      <c r="AE27">
        <f t="shared" si="14"/>
        <v>1.1004707062484671E-3</v>
      </c>
      <c r="AF27">
        <f t="shared" si="14"/>
        <v>7.3785873762900397E-4</v>
      </c>
      <c r="AG27">
        <f t="shared" si="14"/>
        <v>4.947216852924551E-4</v>
      </c>
      <c r="AH27">
        <f t="shared" si="14"/>
        <v>3.3169773644068441E-4</v>
      </c>
      <c r="AI27">
        <f t="shared" si="14"/>
        <v>2.2239168670134713E-4</v>
      </c>
    </row>
    <row r="28" spans="1:35">
      <c r="A28" t="s">
        <v>15</v>
      </c>
      <c r="B28" s="28">
        <v>6.5291906864652541E-2</v>
      </c>
      <c r="C28" s="36">
        <v>1.0418238884169517</v>
      </c>
      <c r="J28" s="8" t="s">
        <v>32</v>
      </c>
      <c r="K28">
        <f t="shared" ref="K28:AI28" si="15">qa3_/wa</f>
        <v>7.575531954898778E-3</v>
      </c>
      <c r="L28">
        <f t="shared" si="15"/>
        <v>8.1601013991666138E-2</v>
      </c>
      <c r="M28">
        <f t="shared" si="15"/>
        <v>0.5089341799273801</v>
      </c>
      <c r="N28">
        <f t="shared" si="15"/>
        <v>0.87515607249219207</v>
      </c>
      <c r="O28">
        <f t="shared" si="15"/>
        <v>0.8892797277063702</v>
      </c>
      <c r="P28">
        <f t="shared" si="15"/>
        <v>0.85794593445985889</v>
      </c>
      <c r="Q28">
        <f t="shared" si="15"/>
        <v>0.81941313906123159</v>
      </c>
      <c r="R28">
        <f t="shared" si="15"/>
        <v>0.7724111092998891</v>
      </c>
      <c r="S28">
        <f t="shared" si="15"/>
        <v>0.72725415285081696</v>
      </c>
      <c r="T28">
        <f t="shared" si="15"/>
        <v>0.69169518729284596</v>
      </c>
      <c r="U28">
        <f t="shared" si="15"/>
        <v>0.65879776213332308</v>
      </c>
      <c r="V28">
        <f t="shared" si="15"/>
        <v>0.62734683749516307</v>
      </c>
      <c r="W28">
        <f t="shared" si="15"/>
        <v>0.59725777369046773</v>
      </c>
      <c r="X28">
        <f t="shared" si="15"/>
        <v>0.56851479248261605</v>
      </c>
      <c r="Y28">
        <f t="shared" si="15"/>
        <v>0.54108989202413216</v>
      </c>
      <c r="Z28">
        <f t="shared" si="15"/>
        <v>0.5149437603102025</v>
      </c>
      <c r="AA28">
        <f t="shared" si="15"/>
        <v>0.49003050648089547</v>
      </c>
      <c r="AB28">
        <f t="shared" si="15"/>
        <v>0.46630097476777899</v>
      </c>
      <c r="AC28">
        <f t="shared" si="15"/>
        <v>0.44370484723389803</v>
      </c>
      <c r="AD28">
        <f t="shared" si="15"/>
        <v>0.42219194855193382</v>
      </c>
      <c r="AE28">
        <f t="shared" si="15"/>
        <v>0.40171304006891051</v>
      </c>
      <c r="AF28">
        <f t="shared" si="15"/>
        <v>0.3822202888854172</v>
      </c>
      <c r="AG28">
        <f t="shared" si="15"/>
        <v>0.36366753087216508</v>
      </c>
      <c r="AH28">
        <f t="shared" si="15"/>
        <v>0.34601040360612179</v>
      </c>
      <c r="AI28">
        <f t="shared" si="15"/>
        <v>0.32920639771940857</v>
      </c>
    </row>
    <row r="29" spans="1:35">
      <c r="A29" t="s">
        <v>19</v>
      </c>
      <c r="B29" s="28">
        <v>2.3330818388441223E-2</v>
      </c>
      <c r="C29" s="36">
        <v>1.0734109767966595</v>
      </c>
    </row>
    <row r="30" spans="1:35">
      <c r="A30" t="s">
        <v>95</v>
      </c>
      <c r="B30" s="28">
        <f>AVERAGE(B27:B29)</f>
        <v>5.079876957420399E-2</v>
      </c>
      <c r="C30" s="36"/>
      <c r="G30" t="s">
        <v>58</v>
      </c>
      <c r="H30" t="s">
        <v>59</v>
      </c>
      <c r="J30" s="2" t="s">
        <v>51</v>
      </c>
    </row>
    <row r="31" spans="1:35">
      <c r="G31">
        <f>SUMPRODUCT(dlz1_,wa,ma)</f>
        <v>-128.6704039304623</v>
      </c>
      <c r="H31">
        <f>Ro/(reck-1)*phie/phif^2*dphif</f>
        <v>-3.2201521453196222</v>
      </c>
      <c r="J31" s="8" t="s">
        <v>52</v>
      </c>
      <c r="K31">
        <v>0</v>
      </c>
      <c r="L31">
        <f t="shared" ref="L31:AH31" si="16">K31*sa-K$7*K18*K$10</f>
        <v>-1.9500654369111785E-18</v>
      </c>
      <c r="M31">
        <f t="shared" si="16"/>
        <v>-4.6094475784261112E-14</v>
      </c>
      <c r="N31">
        <f t="shared" si="16"/>
        <v>-2.274014970811165E-10</v>
      </c>
      <c r="O31">
        <f t="shared" si="16"/>
        <v>-3.0541910045634833E-7</v>
      </c>
      <c r="P31">
        <f t="shared" si="16"/>
        <v>-9.1803615803591715E-5</v>
      </c>
      <c r="Q31">
        <f t="shared" si="16"/>
        <v>-2.1703966752147975E-3</v>
      </c>
      <c r="R31">
        <f t="shared" si="16"/>
        <v>-2.2367180799586661E-2</v>
      </c>
      <c r="S31">
        <f t="shared" si="16"/>
        <v>-0.1275765412037814</v>
      </c>
      <c r="T31">
        <f t="shared" si="16"/>
        <v>-0.26084698813547863</v>
      </c>
      <c r="U31">
        <f t="shared" si="16"/>
        <v>-0.34194873710106116</v>
      </c>
      <c r="V31">
        <f t="shared" si="16"/>
        <v>-0.37883322161542476</v>
      </c>
      <c r="W31">
        <f t="shared" si="16"/>
        <v>-0.38616555579588008</v>
      </c>
      <c r="X31">
        <f t="shared" si="16"/>
        <v>-0.3747429264546957</v>
      </c>
      <c r="Y31">
        <f t="shared" si="16"/>
        <v>-0.35206303583852089</v>
      </c>
      <c r="Z31">
        <f t="shared" si="16"/>
        <v>-0.32326205113189965</v>
      </c>
      <c r="AA31">
        <f t="shared" si="16"/>
        <v>-0.29180367631945264</v>
      </c>
      <c r="AB31">
        <f t="shared" si="16"/>
        <v>-0.25996891457737931</v>
      </c>
      <c r="AC31">
        <f t="shared" si="16"/>
        <v>-0.22920614419122862</v>
      </c>
      <c r="AD31">
        <f t="shared" si="16"/>
        <v>-0.20038248054649416</v>
      </c>
      <c r="AE31">
        <f t="shared" si="16"/>
        <v>-0.17396441657105335</v>
      </c>
      <c r="AF31">
        <f t="shared" si="16"/>
        <v>-0.15014734210278069</v>
      </c>
      <c r="AG31">
        <f t="shared" si="16"/>
        <v>-0.12894794138194385</v>
      </c>
      <c r="AH31">
        <f t="shared" si="16"/>
        <v>-0.11026959978572752</v>
      </c>
      <c r="AI31">
        <f>(AH31*sa-AH$7*AH18*AH$10)/oa-AH$7*AH$10*flt1_*sa/oa^2</f>
        <v>-0.58531288690435845</v>
      </c>
    </row>
    <row r="32" spans="1:35">
      <c r="A32" s="12" t="s">
        <v>22</v>
      </c>
      <c r="B32" s="12"/>
      <c r="C32" s="12"/>
      <c r="G32">
        <f>SUMPRODUCT(dlz2_,wa,ma)</f>
        <v>-50.2173136684412</v>
      </c>
      <c r="H32">
        <f>Ro/(reck-1)*phie/phif^2*dphif</f>
        <v>-1.256756685313674</v>
      </c>
      <c r="J32" s="8" t="s">
        <v>53</v>
      </c>
      <c r="K32">
        <v>0</v>
      </c>
      <c r="L32">
        <f t="shared" ref="L32:AH32" si="17">K32*sa-K$7*K19*K$10</f>
        <v>-2.7595322288945356E-26</v>
      </c>
      <c r="M32">
        <f t="shared" si="17"/>
        <v>-7.7085354677206983E-18</v>
      </c>
      <c r="N32">
        <f t="shared" si="17"/>
        <v>-2.1301563108275772E-9</v>
      </c>
      <c r="O32">
        <f t="shared" si="17"/>
        <v>-0.28115521214775141</v>
      </c>
      <c r="P32">
        <f t="shared" si="17"/>
        <v>-0.53112873187347776</v>
      </c>
      <c r="Q32">
        <f t="shared" si="17"/>
        <v>-0.60087378484421405</v>
      </c>
      <c r="R32">
        <f t="shared" si="17"/>
        <v>-0.57468241969814415</v>
      </c>
      <c r="S32">
        <f t="shared" si="17"/>
        <v>-0.50207695884694759</v>
      </c>
      <c r="T32">
        <f t="shared" si="17"/>
        <v>-0.42162472106143362</v>
      </c>
      <c r="U32">
        <f t="shared" si="17"/>
        <v>-0.34688115009233356</v>
      </c>
      <c r="V32">
        <f t="shared" si="17"/>
        <v>-0.2819981804652566</v>
      </c>
      <c r="W32">
        <f t="shared" si="17"/>
        <v>-0.22760255865280968</v>
      </c>
      <c r="X32">
        <f t="shared" si="17"/>
        <v>-0.18289554081003426</v>
      </c>
      <c r="Y32">
        <f t="shared" si="17"/>
        <v>-0.14658439360741526</v>
      </c>
      <c r="Z32">
        <f t="shared" si="17"/>
        <v>-0.1173044633970137</v>
      </c>
      <c r="AA32">
        <f t="shared" si="17"/>
        <v>-9.3797882164372862E-2</v>
      </c>
      <c r="AB32">
        <f t="shared" si="17"/>
        <v>-7.497595823199095E-2</v>
      </c>
      <c r="AC32">
        <f t="shared" si="17"/>
        <v>-5.9927867763787952E-2</v>
      </c>
      <c r="AD32">
        <f t="shared" si="17"/>
        <v>-4.7906465730367678E-2</v>
      </c>
      <c r="AE32">
        <f t="shared" si="17"/>
        <v>-3.8306112429363902E-2</v>
      </c>
      <c r="AF32">
        <f t="shared" si="17"/>
        <v>-3.0639432347497986E-2</v>
      </c>
      <c r="AG32">
        <f t="shared" si="17"/>
        <v>-2.4515959446467783E-2</v>
      </c>
      <c r="AH32">
        <f t="shared" si="17"/>
        <v>-1.9623697102074511E-2</v>
      </c>
      <c r="AI32">
        <f>(AH32*sa-AH$7*AH19*AH$10)/oa-AH$7*AH$10*flt2_*sa/oa^2</f>
        <v>-7.8851396823512512E-2</v>
      </c>
    </row>
    <row r="33" spans="1:35">
      <c r="A33" t="s">
        <v>28</v>
      </c>
      <c r="B33" s="1">
        <f>SUMPRODUCT(lx,wa,ma)</f>
        <v>47.823341581284872</v>
      </c>
      <c r="G33">
        <f>SUMPRODUCT(dlz3_,wa,ma)</f>
        <v>-178.4681171663533</v>
      </c>
      <c r="H33">
        <f>Ro/(reck-1)*phie/phif^2*dphif</f>
        <v>-4.466407758189443</v>
      </c>
      <c r="J33" s="8" t="s">
        <v>54</v>
      </c>
      <c r="K33">
        <v>0</v>
      </c>
      <c r="L33">
        <f t="shared" ref="L33:AH33" si="18">K33*sa-K$7*K20*K$10</f>
        <v>-7.0208809086557081E-3</v>
      </c>
      <c r="M33">
        <f t="shared" si="18"/>
        <v>-7.0983537278007033E-2</v>
      </c>
      <c r="N33">
        <f t="shared" si="18"/>
        <v>-0.40399738511546845</v>
      </c>
      <c r="O33">
        <f t="shared" si="18"/>
        <v>-0.81806672873651354</v>
      </c>
      <c r="P33">
        <f t="shared" si="18"/>
        <v>-1.0715172789648963</v>
      </c>
      <c r="Q33">
        <f t="shared" si="18"/>
        <v>-1.1952397420202971</v>
      </c>
      <c r="R33">
        <f t="shared" si="18"/>
        <v>-1.2093001489592852</v>
      </c>
      <c r="S33">
        <f t="shared" si="18"/>
        <v>-1.1424106928609778</v>
      </c>
      <c r="T33">
        <f t="shared" si="18"/>
        <v>-1.0421726450711921</v>
      </c>
      <c r="U33">
        <f t="shared" si="18"/>
        <v>-0.92987336043702995</v>
      </c>
      <c r="V33">
        <f t="shared" si="18"/>
        <v>-0.81640153939359783</v>
      </c>
      <c r="W33">
        <f t="shared" si="18"/>
        <v>-0.70797140158372052</v>
      </c>
      <c r="X33">
        <f t="shared" si="18"/>
        <v>-0.60796937728938438</v>
      </c>
      <c r="Y33">
        <f t="shared" si="18"/>
        <v>-0.51797842486779666</v>
      </c>
      <c r="Z33">
        <f t="shared" si="18"/>
        <v>-0.43844136731297645</v>
      </c>
      <c r="AA33">
        <f t="shared" si="18"/>
        <v>-0.36910281287004193</v>
      </c>
      <c r="AB33">
        <f t="shared" si="18"/>
        <v>-0.30930411333176278</v>
      </c>
      <c r="AC33">
        <f t="shared" si="18"/>
        <v>-0.25817843085847925</v>
      </c>
      <c r="AD33">
        <f t="shared" si="18"/>
        <v>-0.2147773474629428</v>
      </c>
      <c r="AE33">
        <f t="shared" si="18"/>
        <v>-0.17815057364141959</v>
      </c>
      <c r="AF33">
        <f t="shared" si="18"/>
        <v>-0.14739374029983335</v>
      </c>
      <c r="AG33">
        <f t="shared" si="18"/>
        <v>-0.12167474157512667</v>
      </c>
      <c r="AH33">
        <f t="shared" si="18"/>
        <v>-0.10024593322437735</v>
      </c>
      <c r="AI33">
        <f>(AH33*sa-AH$7*AH20*AH$10)/oa-AH$7*AH$10*flt3_*sa/oa^2</f>
        <v>-0.45545865839712463</v>
      </c>
    </row>
    <row r="34" spans="1:35">
      <c r="A34" t="s">
        <v>27</v>
      </c>
      <c r="B34" s="1">
        <f>SUMPRODUCT(lz,wa,ma)</f>
        <v>19.059205544913624</v>
      </c>
      <c r="G34" t="s">
        <v>57</v>
      </c>
      <c r="J34" s="8"/>
    </row>
    <row r="35" spans="1:35">
      <c r="A35" t="s">
        <v>33</v>
      </c>
      <c r="B35" s="1">
        <f>SUMPRODUCT(lz,ta1_)</f>
        <v>1.0760110083049395</v>
      </c>
      <c r="C35" s="10"/>
      <c r="G35" s="1">
        <f>SUM(dqa11_)</f>
        <v>496.69567896212993</v>
      </c>
      <c r="H35" s="1">
        <f>SUM(dqa12_)</f>
        <v>509.30090945514411</v>
      </c>
      <c r="I35" s="11">
        <f>SUM(dqa13_)</f>
        <v>500.27770448693758</v>
      </c>
      <c r="J35" s="8" t="s">
        <v>62</v>
      </c>
      <c r="K35">
        <f>flt1_*qa1_+lz*wa*flt1_^2/za*(sa-oa/za)</f>
        <v>5.1338277760064442E-37</v>
      </c>
      <c r="L35">
        <f t="shared" ref="L35:AI35" si="19">flt1_*qa1_+lz*wa*flt1_^2/za*(sa-oa/za)</f>
        <v>2.9471562757715696E-27</v>
      </c>
      <c r="M35">
        <f t="shared" si="19"/>
        <v>2.9129940909261241E-19</v>
      </c>
      <c r="N35">
        <f t="shared" si="19"/>
        <v>1.5685179923788459E-12</v>
      </c>
      <c r="O35">
        <f t="shared" si="19"/>
        <v>3.594796606620333E-7</v>
      </c>
      <c r="P35">
        <f t="shared" si="19"/>
        <v>4.1031176792313752E-4</v>
      </c>
      <c r="Q35">
        <f t="shared" si="19"/>
        <v>7.7184040955090391E-2</v>
      </c>
      <c r="R35">
        <f t="shared" si="19"/>
        <v>4.0962671531060924</v>
      </c>
      <c r="S35">
        <f t="shared" si="19"/>
        <v>16.211111151167902</v>
      </c>
      <c r="T35">
        <f t="shared" si="19"/>
        <v>21.169060746347355</v>
      </c>
      <c r="U35">
        <f t="shared" si="19"/>
        <v>23.598431184648589</v>
      </c>
      <c r="V35">
        <f t="shared" si="19"/>
        <v>25.464885890505567</v>
      </c>
      <c r="W35">
        <f t="shared" si="19"/>
        <v>27.009679246958008</v>
      </c>
      <c r="X35">
        <f t="shared" si="19"/>
        <v>28.288551451321926</v>
      </c>
      <c r="Y35">
        <f t="shared" si="19"/>
        <v>29.340447871326116</v>
      </c>
      <c r="Z35">
        <f t="shared" si="19"/>
        <v>30.20074940496794</v>
      </c>
      <c r="AA35">
        <f t="shared" si="19"/>
        <v>30.901248752085149</v>
      </c>
      <c r="AB35">
        <f t="shared" si="19"/>
        <v>31.469714445631684</v>
      </c>
      <c r="AC35">
        <f t="shared" si="19"/>
        <v>31.929874784883072</v>
      </c>
      <c r="AD35">
        <f t="shared" si="19"/>
        <v>32.301683623495109</v>
      </c>
      <c r="AE35">
        <f t="shared" si="19"/>
        <v>32.601723129397016</v>
      </c>
      <c r="AF35">
        <f t="shared" si="19"/>
        <v>32.843651434970383</v>
      </c>
      <c r="AG35">
        <f t="shared" si="19"/>
        <v>33.038642493389595</v>
      </c>
      <c r="AH35">
        <f t="shared" si="19"/>
        <v>33.195790780755139</v>
      </c>
      <c r="AI35">
        <f t="shared" si="19"/>
        <v>32.956570704969074</v>
      </c>
    </row>
    <row r="36" spans="1:35">
      <c r="A36" t="s">
        <v>34</v>
      </c>
      <c r="B36" s="1">
        <f>SUMPRODUCT(lz,ta2_)</f>
        <v>1.0509876075857978</v>
      </c>
      <c r="C36" s="10"/>
      <c r="G36" s="1">
        <f>SUM(dqa21_)</f>
        <v>509.30090945514411</v>
      </c>
      <c r="H36" s="1">
        <f>SUM(dqa22_)</f>
        <v>10.938152888850977</v>
      </c>
      <c r="I36" s="11">
        <f>SUM(dqa23_)</f>
        <v>504.62782588588317</v>
      </c>
      <c r="J36" s="8" t="s">
        <v>63</v>
      </c>
      <c r="K36">
        <f t="shared" ref="K36:AI36" si="20">flt2_*qa2_+lz*wa*flt2_^2/za*(sa-oa/za)</f>
        <v>1.0280491225527625E-52</v>
      </c>
      <c r="L36">
        <f t="shared" si="20"/>
        <v>8.2429065494008084E-35</v>
      </c>
      <c r="M36">
        <f t="shared" si="20"/>
        <v>2.5569299495502825E-17</v>
      </c>
      <c r="N36">
        <f t="shared" si="20"/>
        <v>1.3307847285387764</v>
      </c>
      <c r="O36">
        <f t="shared" si="20"/>
        <v>3.9129788119753153</v>
      </c>
      <c r="P36">
        <f t="shared" si="20"/>
        <v>2.5439696205816693</v>
      </c>
      <c r="Q36">
        <f t="shared" si="20"/>
        <v>1.4952913176337459</v>
      </c>
      <c r="R36">
        <f t="shared" si="20"/>
        <v>0.81350454764204494</v>
      </c>
      <c r="S36">
        <f t="shared" si="20"/>
        <v>0.4230084983913453</v>
      </c>
      <c r="T36">
        <f t="shared" si="20"/>
        <v>0.21480562105165393</v>
      </c>
      <c r="U36">
        <f t="shared" si="20"/>
        <v>0.10627688424157915</v>
      </c>
      <c r="V36">
        <f t="shared" si="20"/>
        <v>5.1479678346915247E-2</v>
      </c>
      <c r="W36">
        <f t="shared" si="20"/>
        <v>2.4533574723230329E-2</v>
      </c>
      <c r="X36">
        <f t="shared" si="20"/>
        <v>1.1546068129149897E-2</v>
      </c>
      <c r="Y36">
        <f t="shared" si="20"/>
        <v>5.3811543989225642E-3</v>
      </c>
      <c r="Z36">
        <f t="shared" si="20"/>
        <v>2.488927386894743E-3</v>
      </c>
      <c r="AA36">
        <f t="shared" si="20"/>
        <v>1.1443436838343636E-3</v>
      </c>
      <c r="AB36">
        <f t="shared" si="20"/>
        <v>5.2367188748720175E-4</v>
      </c>
      <c r="AC36">
        <f t="shared" si="20"/>
        <v>2.3875348783717468E-4</v>
      </c>
      <c r="AD36">
        <f t="shared" si="20"/>
        <v>1.0853348396101791E-4</v>
      </c>
      <c r="AE36">
        <f t="shared" si="20"/>
        <v>4.9222677229467577E-5</v>
      </c>
      <c r="AF36">
        <f t="shared" si="20"/>
        <v>2.2282412650124304E-5</v>
      </c>
      <c r="AG36">
        <f t="shared" si="20"/>
        <v>1.0072078033813113E-5</v>
      </c>
      <c r="AH36">
        <f t="shared" si="20"/>
        <v>4.5474299737864761E-6</v>
      </c>
      <c r="AI36">
        <f t="shared" si="20"/>
        <v>2.0286687244783278E-6</v>
      </c>
    </row>
    <row r="37" spans="1:35">
      <c r="A37" t="s">
        <v>35</v>
      </c>
      <c r="B37" s="1">
        <f>SUMPRODUCT(lz,ta3_)</f>
        <v>2.9413091183279834</v>
      </c>
      <c r="C37" s="10"/>
      <c r="G37" s="1">
        <f>SUM(dqa31_)</f>
        <v>500.27770448693758</v>
      </c>
      <c r="H37" s="1">
        <f>SUM(dqa32_)</f>
        <v>504.62782588588317</v>
      </c>
      <c r="I37" s="1">
        <f>SUM(dqa33_)</f>
        <v>199.98687079189745</v>
      </c>
      <c r="J37" s="8" t="s">
        <v>64</v>
      </c>
      <c r="K37">
        <f t="shared" ref="K37:AI37" si="21">flt3_*qa3_+lz*wa*flt3_^2/za*(sa-oa/za)</f>
        <v>6.6546640901940832E-6</v>
      </c>
      <c r="L37">
        <f t="shared" si="21"/>
        <v>5.8641091260873048E-3</v>
      </c>
      <c r="M37">
        <f t="shared" si="21"/>
        <v>0.67608691580794389</v>
      </c>
      <c r="N37">
        <f t="shared" si="21"/>
        <v>4.1135388094311924</v>
      </c>
      <c r="O37">
        <f t="shared" si="21"/>
        <v>7.0347927872234735</v>
      </c>
      <c r="P37">
        <f t="shared" si="21"/>
        <v>9.3242621916487494</v>
      </c>
      <c r="Q37">
        <f t="shared" si="21"/>
        <v>11.047788269845519</v>
      </c>
      <c r="R37">
        <f t="shared" si="21"/>
        <v>12.104639206125357</v>
      </c>
      <c r="S37">
        <f t="shared" si="21"/>
        <v>12.675061212034985</v>
      </c>
      <c r="T37">
        <f t="shared" si="21"/>
        <v>12.961432300863828</v>
      </c>
      <c r="U37">
        <f t="shared" si="21"/>
        <v>12.913748523550105</v>
      </c>
      <c r="V37">
        <f t="shared" si="21"/>
        <v>12.596661962784776</v>
      </c>
      <c r="W37">
        <f t="shared" si="21"/>
        <v>12.088895419125709</v>
      </c>
      <c r="X37">
        <f t="shared" si="21"/>
        <v>11.456871469182351</v>
      </c>
      <c r="Y37">
        <f t="shared" si="21"/>
        <v>10.752600630846509</v>
      </c>
      <c r="Z37">
        <f t="shared" si="21"/>
        <v>10.015126202353892</v>
      </c>
      <c r="AA37">
        <f t="shared" si="21"/>
        <v>9.2727129121006282</v>
      </c>
      <c r="AB37">
        <f t="shared" si="21"/>
        <v>8.5450721606594975</v>
      </c>
      <c r="AC37">
        <f t="shared" si="21"/>
        <v>7.8453502387972982</v>
      </c>
      <c r="AD37">
        <f t="shared" si="21"/>
        <v>7.1817865508164394</v>
      </c>
      <c r="AE37">
        <f t="shared" si="21"/>
        <v>6.5590375591049632</v>
      </c>
      <c r="AF37">
        <f t="shared" si="21"/>
        <v>5.9792021476727557</v>
      </c>
      <c r="AG37">
        <f t="shared" si="21"/>
        <v>5.4425978146852065</v>
      </c>
      <c r="AH37">
        <f t="shared" si="21"/>
        <v>4.9483375638740847</v>
      </c>
      <c r="AI37">
        <f t="shared" si="21"/>
        <v>4.4453971795720797</v>
      </c>
    </row>
    <row r="38" spans="1:35">
      <c r="A38" s="1" t="s">
        <v>36</v>
      </c>
      <c r="B38" s="1">
        <f>SUMPRODUCT(lz,qa1_)</f>
        <v>30.576325631511292</v>
      </c>
      <c r="G38" t="s">
        <v>69</v>
      </c>
      <c r="J38" s="8" t="s">
        <v>60</v>
      </c>
      <c r="K38">
        <f t="shared" ref="K38:AI38" si="22">flt1_*qa1_+lz*wa*flt2_*flt1_/za*(sa-oa/za)</f>
        <v>1.0017006743131573E-36</v>
      </c>
      <c r="L38">
        <f t="shared" si="22"/>
        <v>5.0754547389390921E-27</v>
      </c>
      <c r="M38">
        <f t="shared" si="22"/>
        <v>-1.0773319507201699E-18</v>
      </c>
      <c r="N38">
        <f t="shared" si="22"/>
        <v>-6.2842997010509007E-7</v>
      </c>
      <c r="O38">
        <f t="shared" si="22"/>
        <v>-3.8543145753513423E-4</v>
      </c>
      <c r="P38">
        <f t="shared" si="22"/>
        <v>-7.4300705220356296E-3</v>
      </c>
      <c r="Q38">
        <f t="shared" si="22"/>
        <v>2.6822695109442962E-2</v>
      </c>
      <c r="R38">
        <f t="shared" si="22"/>
        <v>4.4405887603388843</v>
      </c>
      <c r="S38">
        <f t="shared" si="22"/>
        <v>17.816801330452652</v>
      </c>
      <c r="T38">
        <f t="shared" si="22"/>
        <v>22.898713978574992</v>
      </c>
      <c r="U38">
        <f t="shared" si="22"/>
        <v>25.145993003826316</v>
      </c>
      <c r="V38">
        <f t="shared" si="22"/>
        <v>26.796869253833993</v>
      </c>
      <c r="W38">
        <f t="shared" si="22"/>
        <v>28.133623751053872</v>
      </c>
      <c r="X38">
        <f t="shared" si="22"/>
        <v>29.224100858673573</v>
      </c>
      <c r="Y38">
        <f t="shared" si="22"/>
        <v>30.111515750507625</v>
      </c>
      <c r="Z38">
        <f t="shared" si="22"/>
        <v>30.831653717672641</v>
      </c>
      <c r="AA38">
        <f t="shared" si="22"/>
        <v>31.41470671108608</v>
      </c>
      <c r="AB38">
        <f t="shared" si="22"/>
        <v>31.885934353540922</v>
      </c>
      <c r="AC38">
        <f t="shared" si="22"/>
        <v>32.266283270476272</v>
      </c>
      <c r="AD38">
        <f t="shared" si="22"/>
        <v>32.572998357111942</v>
      </c>
      <c r="AE38">
        <f t="shared" si="22"/>
        <v>32.82019483981918</v>
      </c>
      <c r="AF38">
        <f t="shared" si="22"/>
        <v>33.019372502336957</v>
      </c>
      <c r="AG38">
        <f t="shared" si="22"/>
        <v>33.17986520000661</v>
      </c>
      <c r="AH38">
        <f t="shared" si="22"/>
        <v>33.309225973767802</v>
      </c>
      <c r="AI38">
        <f t="shared" si="22"/>
        <v>33.413461277363844</v>
      </c>
    </row>
    <row r="39" spans="1:35">
      <c r="A39" s="1" t="s">
        <v>37</v>
      </c>
      <c r="B39" s="1">
        <f>SUMPRODUCT(lz,qa2_)</f>
        <v>12.924718334464302</v>
      </c>
      <c r="G39" s="1">
        <f>re*phi_q1+f1_*phi_q1*$H31+f1_*re*G35</f>
        <v>106.03285719838678</v>
      </c>
      <c r="H39" s="1">
        <f>re*phi_q1+f1_*phi_q1*$H32+f1_*re*H35</f>
        <v>111.31171688933661</v>
      </c>
      <c r="I39" s="1">
        <f>re*phi_q1+f1_*phi_q1*$H33+f1_*re*I35</f>
        <v>104.01484153659203</v>
      </c>
      <c r="J39" s="8" t="s">
        <v>66</v>
      </c>
      <c r="K39">
        <f t="shared" ref="K39:AI39" si="23">flt1_*qa1_+lz*wa*flt3_*flt1_/za*(sa-oa/za)</f>
        <v>-1.758106052240877E-21</v>
      </c>
      <c r="L39">
        <f t="shared" si="23"/>
        <v>-3.0026492781114584E-15</v>
      </c>
      <c r="M39">
        <f t="shared" si="23"/>
        <v>-2.4914285735134245E-10</v>
      </c>
      <c r="N39">
        <f t="shared" si="23"/>
        <v>-1.1048706946341158E-6</v>
      </c>
      <c r="O39">
        <f t="shared" si="23"/>
        <v>-5.1695829031705629E-4</v>
      </c>
      <c r="P39">
        <f t="shared" si="23"/>
        <v>-1.4692186984368229E-2</v>
      </c>
      <c r="Q39">
        <f t="shared" si="23"/>
        <v>-8.5144609074525049E-2</v>
      </c>
      <c r="R39">
        <f t="shared" si="23"/>
        <v>3.6496691537724524</v>
      </c>
      <c r="S39">
        <f t="shared" si="23"/>
        <v>16.432801712913658</v>
      </c>
      <c r="T39">
        <f t="shared" si="23"/>
        <v>21.587430972155349</v>
      </c>
      <c r="U39">
        <f t="shared" si="23"/>
        <v>24.030157681344406</v>
      </c>
      <c r="V39">
        <f t="shared" si="23"/>
        <v>25.878654207953296</v>
      </c>
      <c r="W39">
        <f t="shared" si="23"/>
        <v>27.393252217899757</v>
      </c>
      <c r="X39">
        <f t="shared" si="23"/>
        <v>28.635734726842934</v>
      </c>
      <c r="Y39">
        <f t="shared" si="23"/>
        <v>29.648909097812496</v>
      </c>
      <c r="Z39">
        <f t="shared" si="23"/>
        <v>30.470790592475009</v>
      </c>
      <c r="AA39">
        <f t="shared" si="23"/>
        <v>31.134860362580966</v>
      </c>
      <c r="AB39">
        <f t="shared" si="23"/>
        <v>31.669863420489367</v>
      </c>
      <c r="AC39">
        <f t="shared" si="23"/>
        <v>32.099995137739384</v>
      </c>
      <c r="AD39">
        <f t="shared" si="23"/>
        <v>32.445330297093115</v>
      </c>
      <c r="AE39">
        <f t="shared" si="23"/>
        <v>32.722350074045899</v>
      </c>
      <c r="AF39">
        <f t="shared" si="23"/>
        <v>32.944479989538799</v>
      </c>
      <c r="AG39">
        <f t="shared" si="23"/>
        <v>33.122592822826142</v>
      </c>
      <c r="AH39">
        <f t="shared" si="23"/>
        <v>33.265455605056296</v>
      </c>
      <c r="AI39">
        <f t="shared" si="23"/>
        <v>33.245731273867314</v>
      </c>
    </row>
    <row r="40" spans="1:35">
      <c r="A40" s="1" t="s">
        <v>38</v>
      </c>
      <c r="B40" s="1">
        <f>SUMPRODUCT(lz,qa3_)</f>
        <v>43.185619986929431</v>
      </c>
      <c r="G40" s="1">
        <f>re*phi_q1+f1_*phi_q1*$H32+f1_*re*G36</f>
        <v>111.31171688933661</v>
      </c>
      <c r="H40" s="1">
        <f>re*phi_q2+f2_*phi_q2*$H32+f2_*re*H36</f>
        <v>23.54591926471338</v>
      </c>
      <c r="I40" s="1">
        <f>re*phi_q3+f3_*phi_q3*$H33+f3_*re*I36</f>
        <v>94.653580531552208</v>
      </c>
      <c r="J40" s="8" t="s">
        <v>65</v>
      </c>
      <c r="K40">
        <f t="shared" ref="K40:AI40" si="24">flt1_*qa1_+lz*wa*flt1_*flt2_/za*(sa-oa/za)</f>
        <v>1.0017006743131573E-36</v>
      </c>
      <c r="L40">
        <f t="shared" si="24"/>
        <v>5.0754547389390921E-27</v>
      </c>
      <c r="M40">
        <f t="shared" si="24"/>
        <v>-1.0773319507201699E-18</v>
      </c>
      <c r="N40">
        <f t="shared" si="24"/>
        <v>-6.2842997010508997E-7</v>
      </c>
      <c r="O40">
        <f t="shared" si="24"/>
        <v>-3.8543145753513423E-4</v>
      </c>
      <c r="P40">
        <f t="shared" si="24"/>
        <v>-7.4300705220356296E-3</v>
      </c>
      <c r="Q40">
        <f t="shared" si="24"/>
        <v>2.6822695109442962E-2</v>
      </c>
      <c r="R40">
        <f t="shared" si="24"/>
        <v>4.4405887603388843</v>
      </c>
      <c r="S40">
        <f t="shared" si="24"/>
        <v>17.816801330452652</v>
      </c>
      <c r="T40">
        <f t="shared" si="24"/>
        <v>22.898713978574992</v>
      </c>
      <c r="U40">
        <f t="shared" si="24"/>
        <v>25.145993003826316</v>
      </c>
      <c r="V40">
        <f t="shared" si="24"/>
        <v>26.796869253833993</v>
      </c>
      <c r="W40">
        <f t="shared" si="24"/>
        <v>28.133623751053872</v>
      </c>
      <c r="X40">
        <f t="shared" si="24"/>
        <v>29.224100858673573</v>
      </c>
      <c r="Y40">
        <f t="shared" si="24"/>
        <v>30.111515750507625</v>
      </c>
      <c r="Z40">
        <f t="shared" si="24"/>
        <v>30.831653717672641</v>
      </c>
      <c r="AA40">
        <f t="shared" si="24"/>
        <v>31.41470671108608</v>
      </c>
      <c r="AB40">
        <f t="shared" si="24"/>
        <v>31.885934353540922</v>
      </c>
      <c r="AC40">
        <f t="shared" si="24"/>
        <v>32.266283270476272</v>
      </c>
      <c r="AD40">
        <f t="shared" si="24"/>
        <v>32.572998357111942</v>
      </c>
      <c r="AE40">
        <f t="shared" si="24"/>
        <v>32.82019483981918</v>
      </c>
      <c r="AF40">
        <f t="shared" si="24"/>
        <v>33.019372502336957</v>
      </c>
      <c r="AG40">
        <f t="shared" si="24"/>
        <v>33.17986520000661</v>
      </c>
      <c r="AH40">
        <f t="shared" si="24"/>
        <v>33.309225973767802</v>
      </c>
      <c r="AI40">
        <f t="shared" si="24"/>
        <v>33.413461277363844</v>
      </c>
    </row>
    <row r="41" spans="1:35">
      <c r="G41" s="1">
        <f>re*phi_q1+f1_*phi_q1*$H33+f1_*re*G37</f>
        <v>104.01484153659203</v>
      </c>
      <c r="H41" s="1">
        <f>re*phi_q3+f3_*phi_q3*$H33+f3_*re*H37</f>
        <v>94.653580531552208</v>
      </c>
      <c r="I41" s="1">
        <f>re*phi_q3+f1_*phi_q3*$H33+f3_*re*I37</f>
        <v>74.029827580357733</v>
      </c>
      <c r="J41" s="8" t="s">
        <v>67</v>
      </c>
      <c r="K41">
        <f t="shared" ref="K41:AI41" si="25">flt1_*qa1_+lz*wa*flt3_*flt2_/za*(sa-oa/za)</f>
        <v>-2.4878909321728745E-29</v>
      </c>
      <c r="L41">
        <f t="shared" si="25"/>
        <v>-5.0216126400920869E-19</v>
      </c>
      <c r="M41">
        <f t="shared" si="25"/>
        <v>-2.3341999471416915E-9</v>
      </c>
      <c r="N41">
        <f t="shared" si="25"/>
        <v>-1.0177040226024547</v>
      </c>
      <c r="O41">
        <f t="shared" si="25"/>
        <v>-1.7071514337080271</v>
      </c>
      <c r="P41">
        <f t="shared" si="25"/>
        <v>-1.1966105797264956</v>
      </c>
      <c r="Q41">
        <f t="shared" si="25"/>
        <v>-0.6876642972759307</v>
      </c>
      <c r="R41">
        <f t="shared" si="25"/>
        <v>4.2415660532289809</v>
      </c>
      <c r="S41">
        <f t="shared" si="25"/>
        <v>17.852612240557324</v>
      </c>
      <c r="T41">
        <f t="shared" si="25"/>
        <v>22.940857691583339</v>
      </c>
      <c r="U41">
        <f t="shared" si="25"/>
        <v>25.174965542047076</v>
      </c>
      <c r="V41">
        <f t="shared" si="25"/>
        <v>26.81547316591698</v>
      </c>
      <c r="W41">
        <f t="shared" si="25"/>
        <v>28.145184040267498</v>
      </c>
      <c r="X41">
        <f t="shared" si="25"/>
        <v>29.231114935191531</v>
      </c>
      <c r="Y41">
        <f t="shared" si="25"/>
        <v>30.115693139694464</v>
      </c>
      <c r="Z41">
        <f t="shared" si="25"/>
        <v>30.834105191508801</v>
      </c>
      <c r="AA41">
        <f t="shared" si="25"/>
        <v>31.416128334759232</v>
      </c>
      <c r="AB41">
        <f t="shared" si="25"/>
        <v>31.886750816711228</v>
      </c>
      <c r="AC41">
        <f t="shared" si="25"/>
        <v>32.266748462789053</v>
      </c>
      <c r="AD41">
        <f t="shared" si="25"/>
        <v>32.573261665604107</v>
      </c>
      <c r="AE41">
        <f t="shared" si="25"/>
        <v>32.820343059770401</v>
      </c>
      <c r="AF41">
        <f t="shared" si="25"/>
        <v>33.019455552201904</v>
      </c>
      <c r="AG41">
        <f t="shared" si="25"/>
        <v>33.179911552259611</v>
      </c>
      <c r="AH41">
        <f t="shared" si="25"/>
        <v>33.309251758050067</v>
      </c>
      <c r="AI41">
        <f t="shared" si="25"/>
        <v>33.41353301938868</v>
      </c>
    </row>
    <row r="42" spans="1:35">
      <c r="A42" s="15" t="s">
        <v>39</v>
      </c>
      <c r="B42" s="16"/>
      <c r="C42" s="16"/>
      <c r="J42" s="8" t="s">
        <v>68</v>
      </c>
      <c r="K42">
        <f t="shared" ref="K42:AI42" si="26">flt1_*qa1_+lz*wa*flt1_*flt3_/za*(sa-oa/za)</f>
        <v>-1.758106052240877E-21</v>
      </c>
      <c r="L42">
        <f t="shared" si="26"/>
        <v>-3.0026492781114584E-15</v>
      </c>
      <c r="M42">
        <f t="shared" si="26"/>
        <v>-2.4914285735134245E-10</v>
      </c>
      <c r="N42">
        <f t="shared" si="26"/>
        <v>-1.1048706946341158E-6</v>
      </c>
      <c r="O42">
        <f t="shared" si="26"/>
        <v>-5.1695829031705629E-4</v>
      </c>
      <c r="P42">
        <f t="shared" si="26"/>
        <v>-1.4692186984368229E-2</v>
      </c>
      <c r="Q42">
        <f t="shared" si="26"/>
        <v>-8.5144609074525049E-2</v>
      </c>
      <c r="R42">
        <f t="shared" si="26"/>
        <v>3.6496691537724524</v>
      </c>
      <c r="S42">
        <f t="shared" si="26"/>
        <v>16.432801712913658</v>
      </c>
      <c r="T42">
        <f t="shared" si="26"/>
        <v>21.587430972155349</v>
      </c>
      <c r="U42">
        <f t="shared" si="26"/>
        <v>24.030157681344406</v>
      </c>
      <c r="V42">
        <f t="shared" si="26"/>
        <v>25.8786542079533</v>
      </c>
      <c r="W42">
        <f t="shared" si="26"/>
        <v>27.393252217899757</v>
      </c>
      <c r="X42">
        <f t="shared" si="26"/>
        <v>28.635734726842934</v>
      </c>
      <c r="Y42">
        <f t="shared" si="26"/>
        <v>29.648909097812496</v>
      </c>
      <c r="Z42">
        <f t="shared" si="26"/>
        <v>30.470790592475009</v>
      </c>
      <c r="AA42">
        <f t="shared" si="26"/>
        <v>31.134860362580966</v>
      </c>
      <c r="AB42">
        <f t="shared" si="26"/>
        <v>31.669863420489367</v>
      </c>
      <c r="AC42">
        <f t="shared" si="26"/>
        <v>32.099995137739384</v>
      </c>
      <c r="AD42">
        <f t="shared" si="26"/>
        <v>32.445330297093115</v>
      </c>
      <c r="AE42">
        <f t="shared" si="26"/>
        <v>32.722350074045899</v>
      </c>
      <c r="AF42">
        <f t="shared" si="26"/>
        <v>32.944479989538799</v>
      </c>
      <c r="AG42">
        <f t="shared" si="26"/>
        <v>33.122592822826142</v>
      </c>
      <c r="AH42">
        <f t="shared" si="26"/>
        <v>33.265455605056296</v>
      </c>
      <c r="AI42">
        <f t="shared" si="26"/>
        <v>33.245731273867314</v>
      </c>
    </row>
    <row r="43" spans="1:35">
      <c r="A43" s="1" t="s">
        <v>40</v>
      </c>
      <c r="B43" s="1">
        <f>phif/phie</f>
        <v>0.39853353853408335</v>
      </c>
      <c r="J43" s="8" t="s">
        <v>61</v>
      </c>
      <c r="K43">
        <f t="shared" ref="K43:AI43" si="27">flt1_*qa1_+lz*wa*flt2_*flt3_/za*(sa-oa/za)</f>
        <v>-2.4878909321728745E-29</v>
      </c>
      <c r="L43">
        <f t="shared" si="27"/>
        <v>-5.021612640092086E-19</v>
      </c>
      <c r="M43">
        <f t="shared" si="27"/>
        <v>-2.3341999471416915E-9</v>
      </c>
      <c r="N43">
        <f t="shared" si="27"/>
        <v>-1.0177040226024547</v>
      </c>
      <c r="O43">
        <f t="shared" si="27"/>
        <v>-1.7071514337080271</v>
      </c>
      <c r="P43">
        <f t="shared" si="27"/>
        <v>-1.1966105797264956</v>
      </c>
      <c r="Q43">
        <f t="shared" si="27"/>
        <v>-0.6876642972759307</v>
      </c>
      <c r="R43">
        <f t="shared" si="27"/>
        <v>4.2415660532289809</v>
      </c>
      <c r="S43">
        <f t="shared" si="27"/>
        <v>17.852612240557324</v>
      </c>
      <c r="T43">
        <f t="shared" si="27"/>
        <v>22.940857691583339</v>
      </c>
      <c r="U43">
        <f t="shared" si="27"/>
        <v>25.174965542047076</v>
      </c>
      <c r="V43">
        <f t="shared" si="27"/>
        <v>26.81547316591698</v>
      </c>
      <c r="W43">
        <f t="shared" si="27"/>
        <v>28.145184040267498</v>
      </c>
      <c r="X43">
        <f t="shared" si="27"/>
        <v>29.231114935191531</v>
      </c>
      <c r="Y43">
        <f t="shared" si="27"/>
        <v>30.115693139694464</v>
      </c>
      <c r="Z43">
        <f t="shared" si="27"/>
        <v>30.834105191508801</v>
      </c>
      <c r="AA43">
        <f t="shared" si="27"/>
        <v>31.416128334759232</v>
      </c>
      <c r="AB43">
        <f t="shared" si="27"/>
        <v>31.886750816711228</v>
      </c>
      <c r="AC43">
        <f t="shared" si="27"/>
        <v>32.266748462789053</v>
      </c>
      <c r="AD43">
        <f t="shared" si="27"/>
        <v>32.573261665604107</v>
      </c>
      <c r="AE43">
        <f t="shared" si="27"/>
        <v>32.820343059770401</v>
      </c>
      <c r="AF43">
        <f t="shared" si="27"/>
        <v>33.019455552201904</v>
      </c>
      <c r="AG43">
        <f t="shared" si="27"/>
        <v>33.179911552259611</v>
      </c>
      <c r="AH43">
        <f t="shared" si="27"/>
        <v>33.309251758050067</v>
      </c>
      <c r="AI43">
        <f t="shared" si="27"/>
        <v>33.41353301938868</v>
      </c>
    </row>
    <row r="44" spans="1:35">
      <c r="A44" s="1" t="s">
        <v>41</v>
      </c>
      <c r="B44" s="11">
        <f>MAX(0,Ro*(reck-1/spr)/(reck-1))</f>
        <v>1.8041400964987986</v>
      </c>
    </row>
    <row r="45" spans="1:35">
      <c r="A45" s="1" t="s">
        <v>43</v>
      </c>
      <c r="B45" s="1">
        <f>f1_*re*phi_q1</f>
        <v>3.5180043689823042</v>
      </c>
      <c r="C45" s="20">
        <f>ye_1/SUM(ye_1,ye_2,ye_3)</f>
        <v>0.51295924716123387</v>
      </c>
      <c r="J45" s="2" t="s">
        <v>87</v>
      </c>
    </row>
    <row r="46" spans="1:35" ht="19" thickBot="1">
      <c r="A46" s="1" t="s">
        <v>44</v>
      </c>
      <c r="B46" s="1">
        <f>f2_*re*phi_q2</f>
        <v>1.5224768529294241</v>
      </c>
      <c r="C46" s="20">
        <f>ye_2/SUM(ye_1,ye_2,ye_3)</f>
        <v>0.22199193019336763</v>
      </c>
      <c r="G46" s="32" t="s">
        <v>94</v>
      </c>
      <c r="H46" s="32"/>
      <c r="I46" s="32"/>
      <c r="J46" s="8" t="s">
        <v>75</v>
      </c>
      <c r="K46">
        <f t="shared" ref="K46:AI46" si="28">lz*qa1_</f>
        <v>4.4204038126716157E-19</v>
      </c>
      <c r="L46">
        <f t="shared" si="28"/>
        <v>7.0045950124548249E-14</v>
      </c>
      <c r="M46">
        <f t="shared" si="28"/>
        <v>9.2870310187192799E-10</v>
      </c>
      <c r="N46">
        <f t="shared" si="28"/>
        <v>2.3610177198139173E-6</v>
      </c>
      <c r="O46">
        <f t="shared" si="28"/>
        <v>1.0838521049548362E-3</v>
      </c>
      <c r="P46">
        <f t="shared" si="28"/>
        <v>3.3178385200129716E-2</v>
      </c>
      <c r="Q46">
        <f t="shared" si="28"/>
        <v>0.40566309675245094</v>
      </c>
      <c r="R46">
        <f t="shared" si="28"/>
        <v>2.578855556104624</v>
      </c>
      <c r="S46">
        <f t="shared" si="28"/>
        <v>4.3154712505125206</v>
      </c>
      <c r="T46">
        <f t="shared" si="28"/>
        <v>4.0324007881890873</v>
      </c>
      <c r="U46">
        <f t="shared" si="28"/>
        <v>3.4548953527645203</v>
      </c>
      <c r="V46">
        <f t="shared" si="28"/>
        <v>2.9021103620064466</v>
      </c>
      <c r="W46">
        <f t="shared" si="28"/>
        <v>2.410624720309849</v>
      </c>
      <c r="X46">
        <f t="shared" si="28"/>
        <v>1.9857650719381577</v>
      </c>
      <c r="Y46">
        <f t="shared" si="28"/>
        <v>1.6253054041583075</v>
      </c>
      <c r="Z46">
        <f t="shared" si="28"/>
        <v>1.3236762134508782</v>
      </c>
      <c r="AA46">
        <f t="shared" si="28"/>
        <v>1.0738912877000817</v>
      </c>
      <c r="AB46">
        <f t="shared" si="28"/>
        <v>0.86867368147379087</v>
      </c>
      <c r="AC46">
        <f t="shared" si="28"/>
        <v>0.70109095423180701</v>
      </c>
      <c r="AD46">
        <f t="shared" si="28"/>
        <v>0.56487505857298603</v>
      </c>
      <c r="AE46">
        <f t="shared" si="28"/>
        <v>0.4545471253853019</v>
      </c>
      <c r="AF46">
        <f t="shared" si="28"/>
        <v>0.3654280740180168</v>
      </c>
      <c r="AG46">
        <f t="shared" si="28"/>
        <v>0.29358752493977142</v>
      </c>
      <c r="AH46">
        <f t="shared" si="28"/>
        <v>0.23576373938041223</v>
      </c>
      <c r="AI46">
        <f t="shared" si="28"/>
        <v>0.94943577037070837</v>
      </c>
    </row>
    <row r="47" spans="1:35" ht="19" thickTop="1">
      <c r="A47" s="1" t="s">
        <v>45</v>
      </c>
      <c r="B47" s="1">
        <f>f3_*re*phi_q3</f>
        <v>1.8177719209086445</v>
      </c>
      <c r="C47" s="20">
        <f>ye_3/SUM(ye_1,ye_2,ye_3)</f>
        <v>0.26504882264539864</v>
      </c>
      <c r="F47" t="s">
        <v>84</v>
      </c>
      <c r="G47" s="31">
        <f>G39/G53</f>
        <v>0.99999999999999989</v>
      </c>
      <c r="H47" s="31">
        <f>H53/H39</f>
        <v>0.4488871527320703</v>
      </c>
      <c r="I47" s="31">
        <f>I53/I39</f>
        <v>0.85178166858929238</v>
      </c>
      <c r="J47" s="8" t="s">
        <v>76</v>
      </c>
      <c r="K47">
        <f t="shared" ref="K47:AI47" si="29">lz*qa2_</f>
        <v>6.2553012606167289E-27</v>
      </c>
      <c r="L47">
        <f t="shared" si="29"/>
        <v>1.1714442797286292E-17</v>
      </c>
      <c r="M47">
        <f t="shared" si="29"/>
        <v>8.7009467211322222E-9</v>
      </c>
      <c r="N47">
        <f t="shared" si="29"/>
        <v>2.174745287116695</v>
      </c>
      <c r="O47">
        <f t="shared" si="29"/>
        <v>3.5759102655302639</v>
      </c>
      <c r="P47">
        <f t="shared" si="29"/>
        <v>2.6124874866078569</v>
      </c>
      <c r="Q47">
        <f t="shared" si="29"/>
        <v>1.7855197210567362</v>
      </c>
      <c r="R47">
        <f t="shared" si="29"/>
        <v>1.1492456634090789</v>
      </c>
      <c r="S47">
        <f t="shared" si="29"/>
        <v>0.69710208587340272</v>
      </c>
      <c r="T47">
        <f t="shared" si="29"/>
        <v>0.4061960700570304</v>
      </c>
      <c r="U47">
        <f t="shared" si="29"/>
        <v>0.23185300977071777</v>
      </c>
      <c r="V47">
        <f t="shared" si="29"/>
        <v>0.13048511389881612</v>
      </c>
      <c r="W47">
        <f t="shared" si="29"/>
        <v>7.2652457455159192E-2</v>
      </c>
      <c r="X47">
        <f t="shared" si="29"/>
        <v>4.0118027403148432E-2</v>
      </c>
      <c r="Y47">
        <f t="shared" si="29"/>
        <v>2.2010977839845739E-2</v>
      </c>
      <c r="Z47">
        <f t="shared" si="29"/>
        <v>1.2016528422135842E-2</v>
      </c>
      <c r="AA47">
        <f t="shared" si="29"/>
        <v>6.5350744928598546E-3</v>
      </c>
      <c r="AB47">
        <f t="shared" si="29"/>
        <v>3.5435608323457143E-3</v>
      </c>
      <c r="AC47">
        <f t="shared" si="29"/>
        <v>1.9171258288149754E-3</v>
      </c>
      <c r="AD47">
        <f t="shared" si="29"/>
        <v>1.035432260347041E-3</v>
      </c>
      <c r="AE47">
        <f t="shared" si="29"/>
        <v>5.5852324659390372E-4</v>
      </c>
      <c r="AF47">
        <f t="shared" si="29"/>
        <v>3.009936255175323E-4</v>
      </c>
      <c r="AG47">
        <f t="shared" si="29"/>
        <v>1.6210112963680831E-4</v>
      </c>
      <c r="AH47">
        <f t="shared" si="29"/>
        <v>8.7260663676867587E-5</v>
      </c>
      <c r="AI47">
        <f t="shared" si="29"/>
        <v>2.3555924267432615E-4</v>
      </c>
    </row>
    <row r="48" spans="1:35">
      <c r="A48" s="1" t="s">
        <v>72</v>
      </c>
      <c r="B48" s="1">
        <f>SUM(B45:B47)</f>
        <v>6.8582531428203719</v>
      </c>
      <c r="F48" t="s">
        <v>85</v>
      </c>
      <c r="G48" s="31">
        <f>G40/G54</f>
        <v>2.2277313884206338</v>
      </c>
      <c r="H48" s="31">
        <f t="shared" ref="H48" si="30">H40/H54</f>
        <v>1.0000000000000002</v>
      </c>
      <c r="I48" s="31">
        <f>I54/I40</f>
        <v>0.4410868873348901</v>
      </c>
      <c r="J48" s="8" t="s">
        <v>77</v>
      </c>
      <c r="K48">
        <f t="shared" ref="K48:AI48" si="31">lz*qa3_</f>
        <v>1.5914916571257928E-3</v>
      </c>
      <c r="L48">
        <f t="shared" si="31"/>
        <v>9.8805807010865915E-2</v>
      </c>
      <c r="M48">
        <f t="shared" si="31"/>
        <v>1.4148433564559233</v>
      </c>
      <c r="N48">
        <f t="shared" si="31"/>
        <v>3.8235105569902967</v>
      </c>
      <c r="O48">
        <f t="shared" si="31"/>
        <v>4.7946677597332981</v>
      </c>
      <c r="P48">
        <f t="shared" si="31"/>
        <v>5.0015601611337663</v>
      </c>
      <c r="Q48">
        <f t="shared" si="31"/>
        <v>4.8533254714682679</v>
      </c>
      <c r="R48">
        <f t="shared" si="31"/>
        <v>4.4331130424021801</v>
      </c>
      <c r="S48">
        <f t="shared" si="31"/>
        <v>3.8158989774419507</v>
      </c>
      <c r="T48">
        <f t="shared" si="31"/>
        <v>3.1552908227441434</v>
      </c>
      <c r="U48">
        <f t="shared" si="31"/>
        <v>2.5557566158174363</v>
      </c>
      <c r="V48">
        <f t="shared" si="31"/>
        <v>2.0411306027402065</v>
      </c>
      <c r="W48">
        <f t="shared" si="31"/>
        <v>1.6127357110442369</v>
      </c>
      <c r="X48">
        <f t="shared" si="31"/>
        <v>1.2637336018508354</v>
      </c>
      <c r="Y48">
        <f t="shared" si="31"/>
        <v>0.98391678129680782</v>
      </c>
      <c r="Z48">
        <f t="shared" si="31"/>
        <v>0.76225646751216614</v>
      </c>
      <c r="AA48">
        <f t="shared" si="31"/>
        <v>0.58826865868245615</v>
      </c>
      <c r="AB48">
        <f t="shared" si="31"/>
        <v>0.45265584216696014</v>
      </c>
      <c r="AC48">
        <f t="shared" si="31"/>
        <v>0.34752169694604751</v>
      </c>
      <c r="AD48">
        <f t="shared" si="31"/>
        <v>0.26635206395766453</v>
      </c>
      <c r="AE48">
        <f t="shared" si="31"/>
        <v>0.20388191168056127</v>
      </c>
      <c r="AF48">
        <f t="shared" si="31"/>
        <v>0.15591855816150196</v>
      </c>
      <c r="AG48">
        <f t="shared" si="31"/>
        <v>0.11915976056670718</v>
      </c>
      <c r="AH48">
        <f t="shared" si="31"/>
        <v>9.1025937595357279E-2</v>
      </c>
      <c r="AI48">
        <f t="shared" si="31"/>
        <v>0.34869832987267485</v>
      </c>
    </row>
    <row r="49" spans="1:19">
      <c r="A49" s="1"/>
      <c r="B49" s="1"/>
      <c r="F49" t="s">
        <v>86</v>
      </c>
      <c r="G49" s="31">
        <f>G41/G55</f>
        <v>1.1740097690247133</v>
      </c>
      <c r="H49" s="31">
        <f t="shared" ref="H49:I49" si="32">H41/H55</f>
        <v>2.2671270189919785</v>
      </c>
      <c r="I49" s="31">
        <f t="shared" si="32"/>
        <v>1.0000000000000002</v>
      </c>
    </row>
    <row r="50" spans="1:19">
      <c r="A50" s="23" t="s">
        <v>88</v>
      </c>
      <c r="B50" s="35">
        <f>f1_*phi_q1</f>
        <v>1.949961854852355</v>
      </c>
      <c r="C50">
        <f>AVERAGE(B50:B52)/B50</f>
        <v>0.64982420178217326</v>
      </c>
    </row>
    <row r="51" spans="1:19">
      <c r="A51" s="23" t="s">
        <v>89</v>
      </c>
      <c r="B51" s="35">
        <f>f2_*phi_q2</f>
        <v>0.84387950574571036</v>
      </c>
      <c r="C51">
        <f>AVERAGE(B50:B52)/B51</f>
        <v>1.5015560837863833</v>
      </c>
      <c r="G51" t="s">
        <v>70</v>
      </c>
    </row>
    <row r="52" spans="1:19">
      <c r="A52" s="23" t="s">
        <v>90</v>
      </c>
      <c r="B52" s="35">
        <f>f3_*phi_q3</f>
        <v>1.007555856907288</v>
      </c>
      <c r="C52">
        <f>AVERAGE(B50:B52)/B52</f>
        <v>1.2576299340114054</v>
      </c>
      <c r="G52" s="1">
        <f>G39^0.5</f>
        <v>10.297225703964481</v>
      </c>
      <c r="H52" s="1">
        <f>H40^0.5</f>
        <v>4.8524137565456407</v>
      </c>
      <c r="I52" s="11">
        <f>I41^0.5</f>
        <v>8.604058785268597</v>
      </c>
    </row>
    <row r="53" spans="1:19">
      <c r="A53" s="29" t="s">
        <v>91</v>
      </c>
      <c r="B53" s="34">
        <f>phi_t1*f1_</f>
        <v>6.8621077852255519E-2</v>
      </c>
      <c r="C53">
        <f>AVERAGE(B53:B55)/B53</f>
        <v>1.0000096090488186</v>
      </c>
      <c r="G53">
        <f t="shared" ref="G53:I55" si="33">G$52*$J53</f>
        <v>106.03285719838679</v>
      </c>
      <c r="H53">
        <f t="shared" si="33"/>
        <v>49.966399660172613</v>
      </c>
      <c r="I53">
        <f t="shared" si="33"/>
        <v>88.597935282089196</v>
      </c>
      <c r="J53">
        <f t="array" ref="J53:J55">TRANSPOSE(G52:I52)</f>
        <v>10.297225703964481</v>
      </c>
    </row>
    <row r="54" spans="1:19">
      <c r="A54" s="29" t="s">
        <v>92</v>
      </c>
      <c r="B54" s="34">
        <f>phi_t2*f2_</f>
        <v>6.86209849903959E-2</v>
      </c>
      <c r="C54">
        <f>AVERAGE(B53:B55)/B54</f>
        <v>1.0000109623192788</v>
      </c>
      <c r="G54">
        <f t="shared" si="33"/>
        <v>49.966399660172613</v>
      </c>
      <c r="H54">
        <f t="shared" si="33"/>
        <v>23.545919264713376</v>
      </c>
      <c r="I54">
        <f t="shared" si="33"/>
        <v>41.750453211764714</v>
      </c>
      <c r="J54">
        <v>4.8524137565456407</v>
      </c>
    </row>
    <row r="55" spans="1:19">
      <c r="A55" s="29" t="s">
        <v>93</v>
      </c>
      <c r="B55" s="34">
        <f>phi_t3*f3_</f>
        <v>6.8623148863976358E-2</v>
      </c>
      <c r="C55">
        <f>AVERAGE(B53:B55)/B55</f>
        <v>0.99997942926757022</v>
      </c>
      <c r="G55">
        <f t="shared" si="33"/>
        <v>88.597935282089196</v>
      </c>
      <c r="H55">
        <f t="shared" si="33"/>
        <v>41.750453211764714</v>
      </c>
      <c r="I55">
        <f t="shared" si="33"/>
        <v>74.029827580357718</v>
      </c>
      <c r="J55">
        <v>8.604058785268597</v>
      </c>
      <c r="S55" s="33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activeCell="M24" sqref="M24"/>
    </sheetView>
  </sheetViews>
  <sheetFormatPr baseColWidth="10" defaultRowHeight="18" x14ac:dyDescent="0"/>
  <sheetData>
    <row r="1" spans="1:34">
      <c r="A1" t="s">
        <v>111</v>
      </c>
      <c r="B1">
        <f>SUM(B5:B10)</f>
        <v>0.15396579491276843</v>
      </c>
      <c r="D1" t="s">
        <v>116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D2" t="s">
        <v>148</v>
      </c>
      <c r="E2" s="1">
        <f>SAA!linf*(1-EXP(-k*(Age+to)))</f>
        <v>13.046318292653432</v>
      </c>
      <c r="F2" s="1">
        <f>SAA!linf*(1-EXP(-k*(Age+to)))</f>
        <v>23.347616162913688</v>
      </c>
      <c r="G2" s="1">
        <f>SAA!linf*(1-EXP(-k*(Age+to)))</f>
        <v>32.877357290618576</v>
      </c>
      <c r="H2" s="1">
        <f>SAA!linf*(1-EXP(-k*(Age+to)))</f>
        <v>41.693330491748405</v>
      </c>
      <c r="I2" s="1">
        <f>SAA!linf*(1-EXP(-k*(Age+to)))</f>
        <v>49.848996258690072</v>
      </c>
      <c r="J2" s="1">
        <f>SAA!linf*(1-EXP(-k*(Age+to)))</f>
        <v>57.393810947276052</v>
      </c>
      <c r="K2" s="1">
        <f>SAA!linf*(1-EXP(-k*(Age+to)))</f>
        <v>64.373526682543215</v>
      </c>
      <c r="L2" s="1">
        <f>SAA!linf*(1-EXP(-k*(Age+to)))</f>
        <v>70.830468801855403</v>
      </c>
      <c r="M2" s="1">
        <f>SAA!linf*(1-EXP(-k*(Age+to)))</f>
        <v>76.803792517817868</v>
      </c>
      <c r="N2" s="1">
        <f>SAA!linf*(1-EXP(-k*(Age+to)))</f>
        <v>82.329720357400305</v>
      </c>
      <c r="O2" s="1">
        <f>SAA!linf*(1-EXP(-k*(Age+to)))</f>
        <v>87.441761817110859</v>
      </c>
      <c r="P2" s="1">
        <f>SAA!linf*(1-EXP(-k*(Age+to)))</f>
        <v>92.170916566220654</v>
      </c>
      <c r="Q2" s="1">
        <f>SAA!linf*(1-EXP(-k*(Age+to)))</f>
        <v>96.545862430273587</v>
      </c>
      <c r="R2" s="1">
        <f>SAA!linf*(1-EXP(-k*(Age+to)))</f>
        <v>100.59312929482205</v>
      </c>
      <c r="S2" s="1">
        <f>SAA!linf*(1-EXP(-k*(Age+to)))</f>
        <v>104.33725998394947</v>
      </c>
      <c r="T2" s="1">
        <f>SAA!linf*(1-EXP(-k*(Age+to)))</f>
        <v>107.80095908915536</v>
      </c>
      <c r="U2" s="1">
        <f>SAA!linf*(1-EXP(-k*(Age+to)))</f>
        <v>111.00523065110768</v>
      </c>
      <c r="V2" s="1">
        <f>SAA!linf*(1-EXP(-k*(Age+to)))</f>
        <v>113.96950552917224</v>
      </c>
      <c r="W2" s="1">
        <f>SAA!linf*(1-EXP(-k*(Age+to)))</f>
        <v>116.71175923109342</v>
      </c>
      <c r="X2" s="1">
        <f>SAA!linf*(1-EXP(-k*(Age+to)))</f>
        <v>119.2486209173519</v>
      </c>
      <c r="Y2" s="1">
        <f>SAA!linf*(1-EXP(-k*(Age+to)))</f>
        <v>121.59547424120646</v>
      </c>
      <c r="Z2" s="1">
        <f>SAA!linf*(1-EXP(-k*(Age+to)))</f>
        <v>123.76655063591932</v>
      </c>
      <c r="AA2" s="1">
        <f>SAA!linf*(1-EXP(-k*(Age+to)))</f>
        <v>125.77501561486294</v>
      </c>
      <c r="AB2" s="1">
        <f>SAA!linf*(1-EXP(-k*(Age+to)))</f>
        <v>127.6330486078367</v>
      </c>
      <c r="AC2" s="1">
        <f>SAA!linf*(1-EXP(-k*(Age+to)))</f>
        <v>129.35191681772446</v>
      </c>
      <c r="AD2" s="1">
        <f>SAA!linf*(1-EXP(-k*(Age+to)))</f>
        <v>130.94204354536348</v>
      </c>
      <c r="AE2" s="1">
        <f>SAA!linf*(1-EXP(-k*(Age+to)))</f>
        <v>132.41307139695024</v>
      </c>
      <c r="AF2" s="1">
        <f>SAA!linf*(1-EXP(-k*(Age+to)))</f>
        <v>133.77392075727573</v>
      </c>
      <c r="AG2" s="1">
        <f>SAA!linf*(1-EXP(-k*(Age+to)))</f>
        <v>135.03284388337465</v>
      </c>
      <c r="AH2" s="1">
        <f>SAA!linf*(1-EXP(-k*(Age+to)))</f>
        <v>136.19747494661573</v>
      </c>
    </row>
    <row r="5" spans="1:34">
      <c r="B5">
        <f>SUMXMY2(E5:AH5,E13:AH13)</f>
        <v>4.8774117707925365E-3</v>
      </c>
      <c r="D5" t="s">
        <v>106</v>
      </c>
      <c r="E5" s="41">
        <v>4.1028500000000002E-7</v>
      </c>
      <c r="F5" s="41">
        <v>2.7047600000000001E-6</v>
      </c>
      <c r="G5" s="41">
        <v>1.5832999999999999E-5</v>
      </c>
      <c r="H5" s="41">
        <v>8.1434500000000001E-5</v>
      </c>
      <c r="I5">
        <v>3.67432E-4</v>
      </c>
      <c r="J5">
        <v>1.4539500000000001E-3</v>
      </c>
      <c r="K5">
        <v>5.0454899999999997E-3</v>
      </c>
      <c r="L5">
        <v>1.5354400000000001E-2</v>
      </c>
      <c r="M5">
        <v>4.0977E-2</v>
      </c>
      <c r="N5">
        <v>9.59005E-2</v>
      </c>
      <c r="O5">
        <v>0.196824</v>
      </c>
      <c r="P5">
        <v>0.35424899999999998</v>
      </c>
      <c r="Q5">
        <v>0.55913199999999996</v>
      </c>
      <c r="R5">
        <v>0.77392000000000005</v>
      </c>
      <c r="S5">
        <v>0.93940599999999996</v>
      </c>
      <c r="T5">
        <v>0.99998500000000001</v>
      </c>
      <c r="U5">
        <v>0.99999700000000002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B6">
        <f>SUMXMY2(E6:AH6,E14:AH14)</f>
        <v>5.9622015562780621E-2</v>
      </c>
      <c r="D6" t="s">
        <v>107</v>
      </c>
      <c r="E6" s="41">
        <v>9.9999999999999995E-7</v>
      </c>
      <c r="F6">
        <v>8.2440600000000003E-2</v>
      </c>
      <c r="G6">
        <v>0.62406499999999998</v>
      </c>
      <c r="H6">
        <v>0.99904499999999996</v>
      </c>
      <c r="I6">
        <v>0.99992899999999996</v>
      </c>
      <c r="J6">
        <v>0.97229699999999997</v>
      </c>
      <c r="K6">
        <v>0.87010799999999999</v>
      </c>
      <c r="L6">
        <v>0.73338099999999995</v>
      </c>
      <c r="M6">
        <v>0.60741199999999995</v>
      </c>
      <c r="N6">
        <v>0.51769500000000002</v>
      </c>
      <c r="O6">
        <v>0.46621699999999999</v>
      </c>
      <c r="P6">
        <v>0.44195099999999998</v>
      </c>
      <c r="Q6">
        <v>0.432452</v>
      </c>
      <c r="R6">
        <v>0.42934299999999997</v>
      </c>
      <c r="S6">
        <v>0.42848900000000001</v>
      </c>
      <c r="T6">
        <v>0.42829099999999998</v>
      </c>
      <c r="U6">
        <v>0.42825299999999999</v>
      </c>
      <c r="V6">
        <v>0.42824600000000002</v>
      </c>
      <c r="W6">
        <v>0.42824499999999999</v>
      </c>
      <c r="X6">
        <v>0.42824499999999999</v>
      </c>
      <c r="Y6">
        <v>0.42824499999999999</v>
      </c>
      <c r="Z6">
        <v>0.42824499999999999</v>
      </c>
      <c r="AA6">
        <v>0.42824499999999999</v>
      </c>
      <c r="AB6">
        <v>0.42824499999999999</v>
      </c>
      <c r="AC6">
        <v>0.42824499999999999</v>
      </c>
      <c r="AD6">
        <v>0.42824499999999999</v>
      </c>
      <c r="AE6">
        <v>0.42824499999999999</v>
      </c>
      <c r="AF6">
        <v>0.42824499999999999</v>
      </c>
      <c r="AG6">
        <v>0.42824499999999999</v>
      </c>
      <c r="AH6">
        <v>0.42824499999999999</v>
      </c>
    </row>
    <row r="7" spans="1:34">
      <c r="B7">
        <f>SUMXMY2(E7:AH7,E15:AH15)</f>
        <v>2.0030559627712656E-2</v>
      </c>
      <c r="D7" t="s">
        <v>108</v>
      </c>
      <c r="E7" s="41">
        <v>9.9999999999999995E-7</v>
      </c>
      <c r="F7">
        <v>3.4747100000000002E-4</v>
      </c>
      <c r="G7">
        <v>3.3551800000000001E-3</v>
      </c>
      <c r="H7">
        <v>2.2178699999999999E-2</v>
      </c>
      <c r="I7">
        <v>0.100359</v>
      </c>
      <c r="J7">
        <v>0.31086599999999998</v>
      </c>
      <c r="K7">
        <v>0.65915699999999999</v>
      </c>
      <c r="L7">
        <v>0.956812</v>
      </c>
      <c r="M7">
        <v>0.99993900000000002</v>
      </c>
      <c r="N7">
        <v>0.99763400000000002</v>
      </c>
      <c r="O7">
        <v>0.877745</v>
      </c>
      <c r="P7">
        <v>0.70250800000000002</v>
      </c>
      <c r="Q7">
        <v>0.60139100000000001</v>
      </c>
      <c r="R7">
        <v>0.57030000000000003</v>
      </c>
      <c r="S7">
        <v>0.56481499999999996</v>
      </c>
      <c r="T7">
        <v>0.56424300000000005</v>
      </c>
      <c r="U7">
        <v>0.56420700000000001</v>
      </c>
      <c r="V7">
        <v>0.56420599999999999</v>
      </c>
      <c r="W7">
        <v>0.56420599999999999</v>
      </c>
      <c r="X7">
        <v>0.56420599999999999</v>
      </c>
      <c r="Y7">
        <v>0.56420599999999999</v>
      </c>
      <c r="Z7">
        <v>0.56420599999999999</v>
      </c>
      <c r="AA7">
        <v>0.56420599999999999</v>
      </c>
      <c r="AB7">
        <v>0.56420599999999999</v>
      </c>
      <c r="AC7">
        <v>0.56420599999999999</v>
      </c>
      <c r="AD7">
        <v>0.56420599999999999</v>
      </c>
      <c r="AE7">
        <v>0.56420599999999999</v>
      </c>
      <c r="AF7">
        <v>0.56420599999999999</v>
      </c>
      <c r="AG7">
        <v>0.56420599999999999</v>
      </c>
      <c r="AH7">
        <v>0.56420599999999999</v>
      </c>
    </row>
    <row r="8" spans="1:34">
      <c r="B8">
        <f>SUMXMY2(E5:AH5,E16:AH16)</f>
        <v>1.0445372727395453E-2</v>
      </c>
      <c r="E8" s="41"/>
    </row>
    <row r="9" spans="1:34">
      <c r="B9">
        <f>SUMXMY2(E6:AH6,E17:AH17)</f>
        <v>4.2345155040982976E-2</v>
      </c>
      <c r="E9" s="4"/>
    </row>
    <row r="10" spans="1:34">
      <c r="B10">
        <f>SUMXMY2(E7:AH7,E18:AH18)</f>
        <v>1.66452801831042E-2</v>
      </c>
    </row>
    <row r="12" spans="1:34">
      <c r="A12" t="s">
        <v>9</v>
      </c>
      <c r="B12" t="s">
        <v>10</v>
      </c>
      <c r="C12" t="s">
        <v>12</v>
      </c>
    </row>
    <row r="13" spans="1:34">
      <c r="A13">
        <v>12.625404070365327</v>
      </c>
      <c r="B13">
        <v>1.061352307234148</v>
      </c>
      <c r="C13">
        <v>1.0095591642666409E-5</v>
      </c>
      <c r="D13" t="s">
        <v>117</v>
      </c>
      <c r="E13" s="4">
        <f t="shared" ref="E13:AH13" si="0">((EXP(g*(ah-Age)/gh)/(1+EXP((ah-Age)/gh))) *(1/(1-g))*((1-g)/g)^g)</f>
        <v>1.7502460147072378E-5</v>
      </c>
      <c r="F13" s="4">
        <f t="shared" si="0"/>
        <v>4.4902737202262307E-5</v>
      </c>
      <c r="G13" s="4">
        <f t="shared" si="0"/>
        <v>1.1519348269757065E-4</v>
      </c>
      <c r="H13" s="4">
        <f t="shared" si="0"/>
        <v>2.9548485404592718E-4</v>
      </c>
      <c r="I13" s="4">
        <f t="shared" si="0"/>
        <v>7.5773966004327243E-4</v>
      </c>
      <c r="J13" s="4">
        <f t="shared" si="0"/>
        <v>1.9417388932823198E-3</v>
      </c>
      <c r="K13" s="4">
        <f t="shared" si="0"/>
        <v>4.9665915350332462E-3</v>
      </c>
      <c r="L13" s="4">
        <f t="shared" si="0"/>
        <v>1.264389182496488E-2</v>
      </c>
      <c r="M13" s="4">
        <f t="shared" si="0"/>
        <v>3.1809350428012848E-2</v>
      </c>
      <c r="N13" s="4">
        <f t="shared" si="0"/>
        <v>7.7738615037063016E-2</v>
      </c>
      <c r="O13" s="4">
        <f t="shared" si="0"/>
        <v>0.1778073642559149</v>
      </c>
      <c r="P13" s="4">
        <f t="shared" si="0"/>
        <v>0.35685364201210734</v>
      </c>
      <c r="Q13" s="4">
        <f t="shared" si="0"/>
        <v>0.58740290223317881</v>
      </c>
      <c r="R13" s="4">
        <f t="shared" si="0"/>
        <v>0.78510412978957989</v>
      </c>
      <c r="S13" s="4">
        <f t="shared" si="0"/>
        <v>0.90364572756009798</v>
      </c>
      <c r="T13" s="4">
        <f t="shared" si="0"/>
        <v>0.9601468195903865</v>
      </c>
      <c r="U13" s="4">
        <f t="shared" si="0"/>
        <v>0.98412543859081891</v>
      </c>
      <c r="V13" s="4">
        <f t="shared" si="0"/>
        <v>0.99379356165705124</v>
      </c>
      <c r="W13" s="4">
        <f t="shared" si="0"/>
        <v>0.99760783010399812</v>
      </c>
      <c r="X13" s="4">
        <f t="shared" si="0"/>
        <v>0.99909668637752946</v>
      </c>
      <c r="Y13" s="4">
        <f t="shared" si="0"/>
        <v>0.99967240980385075</v>
      </c>
      <c r="Z13" s="4">
        <f t="shared" si="0"/>
        <v>0.9998911893395418</v>
      </c>
      <c r="AA13" s="4">
        <f t="shared" si="0"/>
        <v>0.99997068614848739</v>
      </c>
      <c r="AB13" s="4">
        <f t="shared" si="0"/>
        <v>0.99999587111952148</v>
      </c>
      <c r="AC13" s="4">
        <f t="shared" si="0"/>
        <v>0.99999988349217228</v>
      </c>
      <c r="AD13" s="4">
        <f t="shared" si="0"/>
        <v>0.99999564296674393</v>
      </c>
      <c r="AE13" s="4">
        <f t="shared" si="0"/>
        <v>0.99998818569735404</v>
      </c>
      <c r="AF13" s="4">
        <f t="shared" si="0"/>
        <v>0.99997947468671866</v>
      </c>
      <c r="AG13" s="4">
        <f t="shared" si="0"/>
        <v>0.99997027506120306</v>
      </c>
      <c r="AH13" s="4">
        <f t="shared" si="0"/>
        <v>0.99996088504418457</v>
      </c>
    </row>
    <row r="14" spans="1:34">
      <c r="A14">
        <v>2.9399479121449108</v>
      </c>
      <c r="B14">
        <v>0.36842659880385265</v>
      </c>
      <c r="C14">
        <v>3.17002572083089E-2</v>
      </c>
      <c r="D14" t="s">
        <v>118</v>
      </c>
      <c r="E14" s="4">
        <f t="shared" ref="E14:S16" si="1">((EXP(g*(ah-Age)/gh)/(1+EXP((ah-Age)/gh))) *(1/(1-g))*((1-g)/g)^g)</f>
        <v>6.9910394254973649E-3</v>
      </c>
      <c r="F14" s="4">
        <f t="shared" si="1"/>
        <v>9.0277887017258945E-2</v>
      </c>
      <c r="G14" s="4">
        <f t="shared" si="1"/>
        <v>0.61907440304812356</v>
      </c>
      <c r="H14" s="4">
        <f t="shared" si="1"/>
        <v>0.99464611593347885</v>
      </c>
      <c r="I14" s="4">
        <f t="shared" si="1"/>
        <v>0.96043359061255085</v>
      </c>
      <c r="J14" s="4">
        <f t="shared" si="1"/>
        <v>0.88431917789608305</v>
      </c>
      <c r="K14" s="4">
        <f t="shared" si="1"/>
        <v>0.81159909542739872</v>
      </c>
      <c r="L14" s="4">
        <f t="shared" si="1"/>
        <v>0.74469856067387896</v>
      </c>
      <c r="M14" s="4">
        <f t="shared" si="1"/>
        <v>0.68330291836627621</v>
      </c>
      <c r="N14" s="4">
        <f t="shared" si="1"/>
        <v>0.62696836189473293</v>
      </c>
      <c r="O14" s="4">
        <f t="shared" si="1"/>
        <v>0.57527824281284268</v>
      </c>
      <c r="P14" s="4">
        <f t="shared" si="1"/>
        <v>0.5278496897033268</v>
      </c>
      <c r="Q14" s="4">
        <f t="shared" si="1"/>
        <v>0.48433136195263321</v>
      </c>
      <c r="R14" s="4">
        <f t="shared" si="1"/>
        <v>0.44440088294540747</v>
      </c>
      <c r="S14" s="4">
        <f t="shared" si="1"/>
        <v>0.40776245413100815</v>
      </c>
      <c r="T14" s="4">
        <f t="shared" ref="T14:V14" si="2">S14</f>
        <v>0.40776245413100815</v>
      </c>
      <c r="U14" s="4">
        <f t="shared" si="2"/>
        <v>0.40776245413100815</v>
      </c>
      <c r="V14" s="4">
        <f t="shared" si="2"/>
        <v>0.40776245413100815</v>
      </c>
      <c r="W14" s="4">
        <f>V14</f>
        <v>0.40776245413100815</v>
      </c>
      <c r="X14" s="4">
        <f t="shared" ref="X14:AH14" si="3">W14</f>
        <v>0.40776245413100815</v>
      </c>
      <c r="Y14" s="4">
        <f t="shared" si="3"/>
        <v>0.40776245413100815</v>
      </c>
      <c r="Z14" s="4">
        <f t="shared" si="3"/>
        <v>0.40776245413100815</v>
      </c>
      <c r="AA14" s="4">
        <f t="shared" si="3"/>
        <v>0.40776245413100815</v>
      </c>
      <c r="AB14" s="4">
        <f t="shared" si="3"/>
        <v>0.40776245413100815</v>
      </c>
      <c r="AC14" s="4">
        <f t="shared" si="3"/>
        <v>0.40776245413100815</v>
      </c>
      <c r="AD14" s="4">
        <f t="shared" si="3"/>
        <v>0.40776245413100815</v>
      </c>
      <c r="AE14" s="4">
        <f t="shared" si="3"/>
        <v>0.40776245413100815</v>
      </c>
      <c r="AF14" s="4">
        <f t="shared" si="3"/>
        <v>0.40776245413100815</v>
      </c>
      <c r="AG14" s="4">
        <f t="shared" si="3"/>
        <v>0.40776245413100815</v>
      </c>
      <c r="AH14" s="4">
        <f t="shared" si="3"/>
        <v>0.40776245413100815</v>
      </c>
    </row>
    <row r="15" spans="1:34">
      <c r="A15">
        <v>6.9694296221708507</v>
      </c>
      <c r="B15">
        <v>0.72276009053415746</v>
      </c>
      <c r="C15">
        <v>7.7280760462566878E-2</v>
      </c>
      <c r="D15" t="s">
        <v>119</v>
      </c>
      <c r="E15" s="4">
        <f t="shared" si="1"/>
        <v>6.4316040942353255E-4</v>
      </c>
      <c r="F15" s="4">
        <f t="shared" si="1"/>
        <v>2.303721989549657E-3</v>
      </c>
      <c r="G15" s="4">
        <f t="shared" si="1"/>
        <v>8.2326479259225132E-3</v>
      </c>
      <c r="H15" s="4">
        <f t="shared" si="1"/>
        <v>2.9153635007805621E-2</v>
      </c>
      <c r="I15" s="4">
        <f t="shared" si="1"/>
        <v>9.9687897014976531E-2</v>
      </c>
      <c r="J15" s="4">
        <f t="shared" si="1"/>
        <v>0.30183840952132257</v>
      </c>
      <c r="K15" s="4">
        <f t="shared" si="1"/>
        <v>0.66803556127433961</v>
      </c>
      <c r="L15" s="4">
        <f t="shared" si="1"/>
        <v>0.9479377872849003</v>
      </c>
      <c r="M15" s="4">
        <f t="shared" si="1"/>
        <v>0.99647322493922652</v>
      </c>
      <c r="N15" s="4">
        <f t="shared" si="1"/>
        <v>0.93523990711776916</v>
      </c>
      <c r="O15" s="4">
        <f t="shared" si="1"/>
        <v>0.84987367053701224</v>
      </c>
      <c r="P15" s="4">
        <f t="shared" si="1"/>
        <v>0.76585504051863851</v>
      </c>
      <c r="Q15" s="4">
        <f t="shared" si="1"/>
        <v>0.68868157600797641</v>
      </c>
      <c r="R15" s="4">
        <f t="shared" si="1"/>
        <v>0.61895509309408836</v>
      </c>
      <c r="S15" s="4">
        <f t="shared" si="1"/>
        <v>0.5562138832138297</v>
      </c>
      <c r="T15" s="4">
        <f>S15</f>
        <v>0.5562138832138297</v>
      </c>
      <c r="U15" s="4">
        <f t="shared" ref="U15:AH15" si="4">T15</f>
        <v>0.5562138832138297</v>
      </c>
      <c r="V15" s="4">
        <f t="shared" si="4"/>
        <v>0.5562138832138297</v>
      </c>
      <c r="W15" s="4">
        <f t="shared" si="4"/>
        <v>0.5562138832138297</v>
      </c>
      <c r="X15" s="4">
        <f t="shared" si="4"/>
        <v>0.5562138832138297</v>
      </c>
      <c r="Y15" s="4">
        <f t="shared" si="4"/>
        <v>0.5562138832138297</v>
      </c>
      <c r="Z15" s="4">
        <f t="shared" si="4"/>
        <v>0.5562138832138297</v>
      </c>
      <c r="AA15" s="4">
        <f t="shared" si="4"/>
        <v>0.5562138832138297</v>
      </c>
      <c r="AB15" s="4">
        <f t="shared" si="4"/>
        <v>0.5562138832138297</v>
      </c>
      <c r="AC15" s="4">
        <f t="shared" si="4"/>
        <v>0.5562138832138297</v>
      </c>
      <c r="AD15" s="4">
        <f t="shared" si="4"/>
        <v>0.5562138832138297</v>
      </c>
      <c r="AE15" s="4">
        <f t="shared" si="4"/>
        <v>0.5562138832138297</v>
      </c>
      <c r="AF15" s="4">
        <f t="shared" si="4"/>
        <v>0.5562138832138297</v>
      </c>
      <c r="AG15" s="4">
        <f t="shared" si="4"/>
        <v>0.5562138832138297</v>
      </c>
      <c r="AH15" s="4">
        <f t="shared" si="4"/>
        <v>0.5562138832138297</v>
      </c>
    </row>
    <row r="16" spans="1:34">
      <c r="A16">
        <v>94.699885740215251</v>
      </c>
      <c r="B16">
        <v>4.5077682914713426</v>
      </c>
      <c r="C16">
        <v>1.0000000000000001E-5</v>
      </c>
      <c r="D16" t="s">
        <v>106</v>
      </c>
      <c r="E16" s="4">
        <f>((EXP(g*(ah-Len)/gh)/(1+EXP((ah-Len)/gh))) *(1/(1-g))*((1-g)/g)^g)</f>
        <v>1.3593677403275092E-8</v>
      </c>
      <c r="F16" s="4">
        <f>((EXP(g*(ah-Len)/gh)/(1+EXP((ah-Len)/gh))) *(1/(1-g))*((1-g)/g)^g)</f>
        <v>1.3359517606799311E-7</v>
      </c>
      <c r="G16" s="4">
        <f>((EXP(g*(ah-Len)/gh)/(1+EXP((ah-Len)/gh))) *(1/(1-g))*((1-g)/g)^g)</f>
        <v>1.1063955935679374E-6</v>
      </c>
      <c r="H16" s="4">
        <f>((EXP(g*(ah-Len)/gh)/(1+EXP((ah-Len)/gh))) *(1/(1-g))*((1-g)/g)^g)</f>
        <v>7.8209830364736931E-6</v>
      </c>
      <c r="I16" s="4">
        <f>((EXP(g*(ah-Len)/gh)/(1+EXP((ah-Len)/gh))) *(1/(1-g))*((1-g)/g)^g)</f>
        <v>4.7750958067898862E-5</v>
      </c>
      <c r="J16" s="4">
        <f>((EXP(g*(ah-Len)/gh)/(1+EXP((ah-Len)/gh))) *(1/(1-g))*((1-g)/g)^g)</f>
        <v>2.5455368054146105E-4</v>
      </c>
      <c r="K16" s="4">
        <f>((EXP(g*(ah-Len)/gh)/(1+EXP((ah-Len)/gh))) *(1/(1-g))*((1-g)/g)^g)</f>
        <v>1.1962286270012527E-3</v>
      </c>
      <c r="L16" s="4">
        <f>((EXP(g*(ah-Len)/gh)/(1+EXP((ah-Len)/gh))) *(1/(1-g))*((1-g)/g)^g)</f>
        <v>4.991598850363094E-3</v>
      </c>
      <c r="M16" s="4">
        <f>((EXP(g*(ah-Len)/gh)/(1+EXP((ah-Len)/gh))) *(1/(1-g))*((1-g)/g)^g)</f>
        <v>1.8525857530036754E-2</v>
      </c>
      <c r="N16" s="4">
        <f>((EXP(g*(ah-Len)/gh)/(1+EXP((ah-Len)/gh))) *(1/(1-g))*((1-g)/g)^g)</f>
        <v>6.0424927167257142E-2</v>
      </c>
      <c r="O16" s="4">
        <f>((EXP(g*(ah-Len)/gh)/(1+EXP((ah-Len)/gh))) *(1/(1-g))*((1-g)/g)^g)</f>
        <v>0.166593138362224</v>
      </c>
      <c r="P16" s="4">
        <f>((EXP(g*(ah-Len)/gh)/(1+EXP((ah-Len)/gh))) *(1/(1-g))*((1-g)/g)^g)</f>
        <v>0.36335790839238707</v>
      </c>
      <c r="Q16" s="4">
        <f>((EXP(g*(ah-Len)/gh)/(1+EXP((ah-Len)/gh))) *(1/(1-g))*((1-g)/g)^g)</f>
        <v>0.60104314897961519</v>
      </c>
      <c r="R16" s="4">
        <f>((EXP(g*(ah-Len)/gh)/(1+EXP((ah-Len)/gh))) *(1/(1-g))*((1-g)/g)^g)</f>
        <v>0.78715804908700993</v>
      </c>
      <c r="S16" s="4">
        <f>((EXP(g*(ah-Len)/gh)/(1+EXP((ah-Len)/gh))) *(1/(1-g))*((1-g)/g)^g)</f>
        <v>0.89462999426536205</v>
      </c>
      <c r="T16" s="4">
        <f>((EXP(g*(ah-Len)/gh)/(1+EXP((ah-Len)/gh))) *(1/(1-g))*((1-g)/g)^g)</f>
        <v>0.94824967724342868</v>
      </c>
      <c r="U16" s="4">
        <f>((EXP(g*(ah-Len)/gh)/(1+EXP((ah-Len)/gh))) *(1/(1-g))*((1-g)/g)^g)</f>
        <v>0.97393046133197392</v>
      </c>
      <c r="V16" s="4">
        <f>((EXP(g*(ah-Len)/gh)/(1+EXP((ah-Len)/gh))) *(1/(1-g))*((1-g)/g)^g)</f>
        <v>0.98635682337283581</v>
      </c>
      <c r="W16" s="4">
        <f>((EXP(g*(ah-Len)/gh)/(1+EXP((ah-Len)/gh))) *(1/(1-g))*((1-g)/g)^g)</f>
        <v>0.99255913832010501</v>
      </c>
      <c r="X16" s="4">
        <f>((EXP(g*(ah-Len)/gh)/(1+EXP((ah-Len)/gh))) *(1/(1-g))*((1-g)/g)^g)</f>
        <v>0.99577482995433375</v>
      </c>
      <c r="Y16" s="4">
        <f>((EXP(g*(ah-Len)/gh)/(1+EXP((ah-Len)/gh))) *(1/(1-g))*((1-g)/g)^g)</f>
        <v>0.99750864902318226</v>
      </c>
      <c r="Z16" s="4">
        <f>((EXP(g*(ah-Len)/gh)/(1+EXP((ah-Len)/gh))) *(1/(1-g))*((1-g)/g)^g)</f>
        <v>0.99847957294614498</v>
      </c>
      <c r="AA16" s="4">
        <f>((EXP(g*(ah-Len)/gh)/(1+EXP((ah-Len)/gh))) *(1/(1-g))*((1-g)/g)^g)</f>
        <v>0.99904299370530858</v>
      </c>
      <c r="AB16" s="4">
        <f>((EXP(g*(ah-Len)/gh)/(1+EXP((ah-Len)/gh))) *(1/(1-g))*((1-g)/g)^g)</f>
        <v>0.99938090174092908</v>
      </c>
      <c r="AC16" s="4">
        <f>((EXP(g*(ah-Len)/gh)/(1+EXP((ah-Len)/gh))) *(1/(1-g))*((1-g)/g)^g)</f>
        <v>0.99958977740706489</v>
      </c>
      <c r="AD16" s="4">
        <f>((EXP(g*(ah-Len)/gh)/(1+EXP((ah-Len)/gh))) *(1/(1-g))*((1-g)/g)^g)</f>
        <v>0.99972248997079161</v>
      </c>
      <c r="AE16" s="4">
        <f>((EXP(g*(ah-Len)/gh)/(1+EXP((ah-Len)/gh))) *(1/(1-g))*((1-g)/g)^g)</f>
        <v>0.99980892930212717</v>
      </c>
      <c r="AF16" s="4">
        <f>((EXP(g*(ah-Len)/gh)/(1+EXP((ah-Len)/gh))) *(1/(1-g))*((1-g)/g)^g)</f>
        <v>0.99986649527317051</v>
      </c>
      <c r="AG16" s="4">
        <f>((EXP(g*(ah-Len)/gh)/(1+EXP((ah-Len)/gh))) *(1/(1-g))*((1-g)/g)^g)</f>
        <v>0.9999055972560702</v>
      </c>
      <c r="AH16" s="4">
        <f>((EXP(g*(ah-Len)/gh)/(1+EXP((ah-Len)/gh))) *(1/(1-g))*((1-g)/g)^g)</f>
        <v>0.9999326229661718</v>
      </c>
    </row>
    <row r="17" spans="1:34">
      <c r="A17">
        <v>33.735434506917542</v>
      </c>
      <c r="B17">
        <v>4.3974617085642738</v>
      </c>
      <c r="C17">
        <v>7.038021030001558E-2</v>
      </c>
      <c r="D17" t="s">
        <v>107</v>
      </c>
      <c r="E17" s="4">
        <f>((EXP(g*(ah-Len)/gh)/(1+EXP((ah-Len)/gh))) *(1/(1-g))*((1-g)/g)^g)</f>
        <v>1.6114239418085832E-2</v>
      </c>
      <c r="F17" s="4">
        <f>((EXP(g*(ah-Len)/gh)/(1+EXP((ah-Len)/gh))) *(1/(1-g))*((1-g)/g)^g)</f>
        <v>0.13115342768705718</v>
      </c>
      <c r="G17" s="4">
        <f>((EXP(g*(ah-Len)/gh)/(1+EXP((ah-Len)/gh))) *(1/(1-g))*((1-g)/g)^g)</f>
        <v>0.59030876149520184</v>
      </c>
      <c r="H17" s="4">
        <f>((EXP(g*(ah-Len)/gh)/(1+EXP((ah-Len)/gh))) *(1/(1-g))*((1-g)/g)^g)</f>
        <v>0.9759380619873621</v>
      </c>
      <c r="I17" s="4">
        <f>((EXP(g*(ah-Len)/gh)/(1+EXP((ah-Len)/gh))) *(1/(1-g))*((1-g)/g)^g)</f>
        <v>0.97183266413097247</v>
      </c>
      <c r="J17" s="4">
        <f>((EXP(g*(ah-Len)/gh)/(1+EXP((ah-Len)/gh))) *(1/(1-g))*((1-g)/g)^g)</f>
        <v>0.87930634127085916</v>
      </c>
      <c r="K17" s="4">
        <f>((EXP(g*(ah-Len)/gh)/(1+EXP((ah-Len)/gh))) *(1/(1-g))*((1-g)/g)^g)</f>
        <v>0.78924771098381952</v>
      </c>
      <c r="L17" s="4">
        <f>((EXP(g*(ah-Len)/gh)/(1+EXP((ah-Len)/gh))) *(1/(1-g))*((1-g)/g)^g)</f>
        <v>0.71227452970831273</v>
      </c>
      <c r="M17" s="4">
        <f>((EXP(g*(ah-Len)/gh)/(1+EXP((ah-Len)/gh))) *(1/(1-g))*((1-g)/g)^g)</f>
        <v>0.6474380726691833</v>
      </c>
      <c r="N17" s="4">
        <f>((EXP(g*(ah-Len)/gh)/(1+EXP((ah-Len)/gh))) *(1/(1-g))*((1-g)/g)^g)</f>
        <v>0.59266069202339178</v>
      </c>
      <c r="O17" s="4">
        <f>((EXP(g*(ah-Len)/gh)/(1+EXP((ah-Len)/gh))) *(1/(1-g))*((1-g)/g)^g)</f>
        <v>0.54610763480439617</v>
      </c>
      <c r="P17" s="4">
        <f>((EXP(g*(ah-Len)/gh)/(1+EXP((ah-Len)/gh))) *(1/(1-g))*((1-g)/g)^g)</f>
        <v>0.50630056325276762</v>
      </c>
      <c r="Q17" s="4">
        <f>((EXP(g*(ah-Len)/gh)/(1+EXP((ah-Len)/gh))) *(1/(1-g))*((1-g)/g)^g)</f>
        <v>0.4720626495444511</v>
      </c>
      <c r="R17" s="4">
        <f>((EXP(g*(ah-Len)/gh)/(1+EXP((ah-Len)/gh))) *(1/(1-g))*((1-g)/g)^g)</f>
        <v>0.44245406500170537</v>
      </c>
      <c r="S17" s="4">
        <f>((EXP(g*(ah-Len)/gh)/(1+EXP((ah-Len)/gh))) *(1/(1-g))*((1-g)/g)^g)</f>
        <v>0.41671935009379718</v>
      </c>
      <c r="T17" s="4">
        <f>S17</f>
        <v>0.41671935009379718</v>
      </c>
      <c r="U17" s="4">
        <f t="shared" ref="U17:AH17" si="5">T17</f>
        <v>0.41671935009379718</v>
      </c>
      <c r="V17" s="4">
        <f t="shared" si="5"/>
        <v>0.41671935009379718</v>
      </c>
      <c r="W17" s="4">
        <f t="shared" si="5"/>
        <v>0.41671935009379718</v>
      </c>
      <c r="X17" s="4">
        <f t="shared" si="5"/>
        <v>0.41671935009379718</v>
      </c>
      <c r="Y17" s="4">
        <f t="shared" si="5"/>
        <v>0.41671935009379718</v>
      </c>
      <c r="Z17" s="4">
        <f t="shared" si="5"/>
        <v>0.41671935009379718</v>
      </c>
      <c r="AA17" s="4">
        <f t="shared" si="5"/>
        <v>0.41671935009379718</v>
      </c>
      <c r="AB17" s="4">
        <f t="shared" si="5"/>
        <v>0.41671935009379718</v>
      </c>
      <c r="AC17" s="4">
        <f t="shared" si="5"/>
        <v>0.41671935009379718</v>
      </c>
      <c r="AD17" s="4">
        <f t="shared" si="5"/>
        <v>0.41671935009379718</v>
      </c>
      <c r="AE17" s="4">
        <f t="shared" si="5"/>
        <v>0.41671935009379718</v>
      </c>
      <c r="AF17" s="4">
        <f t="shared" si="5"/>
        <v>0.41671935009379718</v>
      </c>
      <c r="AG17" s="4">
        <f t="shared" si="5"/>
        <v>0.41671935009379718</v>
      </c>
      <c r="AH17" s="4">
        <f t="shared" si="5"/>
        <v>0.41671935009379718</v>
      </c>
    </row>
    <row r="18" spans="1:34">
      <c r="A18">
        <v>65.803673678598742</v>
      </c>
      <c r="B18">
        <v>5.2468211942823491</v>
      </c>
      <c r="C18">
        <v>0.13273647763887594</v>
      </c>
      <c r="D18" t="s">
        <v>108</v>
      </c>
      <c r="E18" s="4">
        <f>((EXP(g*(ah-Len)/gh)/(1+EXP((ah-Len)/gh))) *(1/(1-g))*((1-g)/g)^g)</f>
        <v>2.4143364454800808E-4</v>
      </c>
      <c r="F18" s="4">
        <f>((EXP(g*(ah-Len)/gh)/(1+EXP((ah-Len)/gh))) *(1/(1-g))*((1-g)/g)^g)</f>
        <v>1.3248644763612946E-3</v>
      </c>
      <c r="G18" s="4">
        <f>((EXP(g*(ah-Len)/gh)/(1+EXP((ah-Len)/gh))) *(1/(1-g))*((1-g)/g)^g)</f>
        <v>6.3912945424797899E-3</v>
      </c>
      <c r="H18" s="4">
        <f>((EXP(g*(ah-Len)/gh)/(1+EXP((ah-Len)/gh))) *(1/(1-g))*((1-g)/g)^g)</f>
        <v>2.7220967915061289E-2</v>
      </c>
      <c r="I18" s="4">
        <f>((EXP(g*(ah-Len)/gh)/(1+EXP((ah-Len)/gh))) *(1/(1-g))*((1-g)/g)^g)</f>
        <v>0.10103066583918707</v>
      </c>
      <c r="J18" s="4">
        <f>((EXP(g*(ah-Len)/gh)/(1+EXP((ah-Len)/gh))) *(1/(1-g))*((1-g)/g)^g)</f>
        <v>0.30667719913299119</v>
      </c>
      <c r="K18" s="4">
        <f>((EXP(g*(ah-Len)/gh)/(1+EXP((ah-Len)/gh))) *(1/(1-g))*((1-g)/g)^g)</f>
        <v>0.66301583777040518</v>
      </c>
      <c r="L18" s="4">
        <f>((EXP(g*(ah-Len)/gh)/(1+EXP((ah-Len)/gh))) *(1/(1-g))*((1-g)/g)^g)</f>
        <v>0.94145550094302177</v>
      </c>
      <c r="M18" s="4">
        <f>((EXP(g*(ah-Len)/gh)/(1+EXP((ah-Len)/gh))) *(1/(1-g))*((1-g)/g)^g)</f>
        <v>0.99737449490788577</v>
      </c>
      <c r="N18" s="4">
        <f>((EXP(g*(ah-Len)/gh)/(1+EXP((ah-Len)/gh))) *(1/(1-g))*((1-g)/g)^g)</f>
        <v>0.9337949415218022</v>
      </c>
      <c r="O18" s="4">
        <f>((EXP(g*(ah-Len)/gh)/(1+EXP((ah-Len)/gh))) *(1/(1-g))*((1-g)/g)^g)</f>
        <v>0.84205994484928548</v>
      </c>
      <c r="P18" s="4">
        <f>((EXP(g*(ah-Len)/gh)/(1+EXP((ah-Len)/gh))) *(1/(1-g))*((1-g)/g)^g)</f>
        <v>0.75424165874589388</v>
      </c>
      <c r="Q18" s="4">
        <f>((EXP(g*(ah-Len)/gh)/(1+EXP((ah-Len)/gh))) *(1/(1-g))*((1-g)/g)^g)</f>
        <v>0.67771824141292925</v>
      </c>
      <c r="R18" s="4">
        <f>((EXP(g*(ah-Len)/gh)/(1+EXP((ah-Len)/gh))) *(1/(1-g))*((1-g)/g)^g)</f>
        <v>0.61269848508824443</v>
      </c>
      <c r="S18" s="4">
        <f>((EXP(g*(ah-Len)/gh)/(1+EXP((ah-Len)/gh))) *(1/(1-g))*((1-g)/g)^g)</f>
        <v>0.55770191378705392</v>
      </c>
      <c r="T18" s="4">
        <f>S18</f>
        <v>0.55770191378705392</v>
      </c>
      <c r="U18" s="4">
        <f t="shared" ref="U18:AH18" si="6">T18</f>
        <v>0.55770191378705392</v>
      </c>
      <c r="V18" s="4">
        <f t="shared" si="6"/>
        <v>0.55770191378705392</v>
      </c>
      <c r="W18" s="4">
        <f t="shared" si="6"/>
        <v>0.55770191378705392</v>
      </c>
      <c r="X18" s="4">
        <f t="shared" si="6"/>
        <v>0.55770191378705392</v>
      </c>
      <c r="Y18" s="4">
        <f t="shared" si="6"/>
        <v>0.55770191378705392</v>
      </c>
      <c r="Z18" s="4">
        <f t="shared" si="6"/>
        <v>0.55770191378705392</v>
      </c>
      <c r="AA18" s="4">
        <f t="shared" si="6"/>
        <v>0.55770191378705392</v>
      </c>
      <c r="AB18" s="4">
        <f t="shared" si="6"/>
        <v>0.55770191378705392</v>
      </c>
      <c r="AC18" s="4">
        <f t="shared" si="6"/>
        <v>0.55770191378705392</v>
      </c>
      <c r="AD18" s="4">
        <f t="shared" si="6"/>
        <v>0.55770191378705392</v>
      </c>
      <c r="AE18" s="4">
        <f t="shared" si="6"/>
        <v>0.55770191378705392</v>
      </c>
      <c r="AF18" s="4">
        <f t="shared" si="6"/>
        <v>0.55770191378705392</v>
      </c>
      <c r="AG18" s="4">
        <f t="shared" si="6"/>
        <v>0.55770191378705392</v>
      </c>
      <c r="AH18" s="4">
        <f t="shared" si="6"/>
        <v>0.55770191378705392</v>
      </c>
    </row>
    <row r="55" spans="30:31">
      <c r="AD55" t="s">
        <v>146</v>
      </c>
      <c r="AE55" t="s">
        <v>147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activeCell="B5" sqref="B5"/>
    </sheetView>
  </sheetViews>
  <sheetFormatPr baseColWidth="10" defaultRowHeight="18" x14ac:dyDescent="0"/>
  <sheetData>
    <row r="1" spans="1:33">
      <c r="A1" t="s">
        <v>125</v>
      </c>
      <c r="B1">
        <v>78.721378871832741</v>
      </c>
      <c r="C1" t="s">
        <v>116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>
      <c r="A2" t="s">
        <v>126</v>
      </c>
      <c r="B2">
        <v>7.785234075604705E-2</v>
      </c>
      <c r="C2" t="s">
        <v>123</v>
      </c>
      <c r="D2">
        <v>0.94</v>
      </c>
      <c r="E2">
        <v>1.87</v>
      </c>
      <c r="F2">
        <v>2.81</v>
      </c>
      <c r="G2">
        <v>3.75</v>
      </c>
      <c r="H2">
        <v>4.6900000000000004</v>
      </c>
      <c r="I2">
        <v>5.62</v>
      </c>
      <c r="J2">
        <v>6.56</v>
      </c>
      <c r="K2">
        <v>7.32</v>
      </c>
      <c r="L2">
        <v>8.61</v>
      </c>
      <c r="M2">
        <v>10.94</v>
      </c>
      <c r="N2">
        <v>14.14</v>
      </c>
      <c r="O2">
        <v>17.64</v>
      </c>
      <c r="P2">
        <v>19.920000000000002</v>
      </c>
      <c r="Q2">
        <v>22.6</v>
      </c>
      <c r="R2">
        <v>24.53</v>
      </c>
      <c r="S2">
        <v>30.09</v>
      </c>
      <c r="T2">
        <v>34.26</v>
      </c>
      <c r="U2">
        <v>33.229999999999997</v>
      </c>
      <c r="V2">
        <v>42.13</v>
      </c>
      <c r="W2">
        <v>39.68</v>
      </c>
      <c r="X2">
        <v>35.659999999999997</v>
      </c>
      <c r="Y2">
        <v>46.31</v>
      </c>
      <c r="Z2">
        <v>48.46</v>
      </c>
      <c r="AA2">
        <v>47.26</v>
      </c>
      <c r="AB2">
        <v>49.13</v>
      </c>
      <c r="AC2">
        <v>51</v>
      </c>
      <c r="AD2">
        <v>52.87</v>
      </c>
      <c r="AE2">
        <v>54.74</v>
      </c>
      <c r="AF2">
        <v>56.61</v>
      </c>
      <c r="AG2">
        <v>58.48</v>
      </c>
    </row>
    <row r="3" spans="1:33">
      <c r="A3" t="s">
        <v>127</v>
      </c>
      <c r="B3">
        <v>0.16405328226882354</v>
      </c>
      <c r="C3" t="s">
        <v>124</v>
      </c>
      <c r="D3">
        <f t="shared" ref="D3:AG3" si="0">winf*((1-EXP(-k*(Age+to)))^3)</f>
        <v>5.119595845220104E-2</v>
      </c>
      <c r="E3">
        <f t="shared" si="0"/>
        <v>0.29342654700295195</v>
      </c>
      <c r="F3">
        <f t="shared" si="0"/>
        <v>0.81933682071645242</v>
      </c>
      <c r="G3">
        <f t="shared" si="0"/>
        <v>1.6709810823264646</v>
      </c>
      <c r="H3">
        <f t="shared" si="0"/>
        <v>2.8558870175071962</v>
      </c>
      <c r="I3">
        <f t="shared" si="0"/>
        <v>4.3588001475024312</v>
      </c>
      <c r="J3">
        <f t="shared" si="0"/>
        <v>6.1502628318442012</v>
      </c>
      <c r="K3">
        <f t="shared" si="0"/>
        <v>8.192795548053061</v>
      </c>
      <c r="L3">
        <f t="shared" si="0"/>
        <v>10.445272284860348</v>
      </c>
      <c r="M3">
        <f t="shared" si="0"/>
        <v>12.86594496174534</v>
      </c>
      <c r="N3">
        <f t="shared" si="0"/>
        <v>15.414465376124738</v>
      </c>
      <c r="O3">
        <f t="shared" si="0"/>
        <v>18.053170635876704</v>
      </c>
      <c r="P3">
        <f t="shared" si="0"/>
        <v>20.747834140329509</v>
      </c>
      <c r="Q3">
        <f t="shared" si="0"/>
        <v>23.468034831476942</v>
      </c>
      <c r="R3">
        <f t="shared" si="0"/>
        <v>26.187259436828722</v>
      </c>
      <c r="S3">
        <f t="shared" si="0"/>
        <v>28.882823249044712</v>
      </c>
      <c r="T3">
        <f t="shared" si="0"/>
        <v>31.535672665067079</v>
      </c>
      <c r="U3">
        <f t="shared" si="0"/>
        <v>34.130115698146071</v>
      </c>
      <c r="V3">
        <f t="shared" si="0"/>
        <v>36.653513776545324</v>
      </c>
      <c r="W3">
        <f t="shared" si="0"/>
        <v>39.09595841409763</v>
      </c>
      <c r="X3">
        <f t="shared" si="0"/>
        <v>41.449949048961749</v>
      </c>
      <c r="Y3">
        <f t="shared" si="0"/>
        <v>43.710082929277405</v>
      </c>
      <c r="Z3">
        <f t="shared" si="0"/>
        <v>45.872763936511646</v>
      </c>
      <c r="AA3">
        <f t="shared" si="0"/>
        <v>47.935934337174366</v>
      </c>
      <c r="AB3">
        <f t="shared" si="0"/>
        <v>49.898831376935767</v>
      </c>
      <c r="AC3">
        <f t="shared" si="0"/>
        <v>51.761769174237017</v>
      </c>
      <c r="AD3">
        <f t="shared" si="0"/>
        <v>53.525945376613791</v>
      </c>
      <c r="AE3">
        <f t="shared" si="0"/>
        <v>55.193271392160312</v>
      </c>
      <c r="AF3">
        <f t="shared" si="0"/>
        <v>56.76622460928558</v>
      </c>
      <c r="AG3">
        <f t="shared" si="0"/>
        <v>58.247720800593093</v>
      </c>
    </row>
    <row r="4" spans="1:33">
      <c r="A4" t="s">
        <v>111</v>
      </c>
      <c r="B4">
        <f>SUMXMY2(Wa,Wa_hat)</f>
        <v>119.84430992893407</v>
      </c>
    </row>
    <row r="5" spans="1:33">
      <c r="A5" t="s">
        <v>79</v>
      </c>
      <c r="B5">
        <f>(winf/0.00000692)^(1/3.24)</f>
        <v>150.58220121472218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Status Quo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2015-08-15T14:41:52Z</dcterms:modified>
</cp:coreProperties>
</file>