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51200" windowHeight="28260" tabRatio="623" firstSheet="4" activeTab="5"/>
  </bookViews>
  <sheets>
    <sheet name="SUMMARY" sheetId="6" r:id="rId1"/>
    <sheet name="Status Quo" sheetId="3" r:id="rId2"/>
    <sheet name="FixedPSCLimit" sheetId="13" r:id="rId3"/>
    <sheet name="Excluders (1)" sheetId="7" r:id="rId4"/>
    <sheet name="Excluders (2)" sheetId="10" r:id="rId5"/>
    <sheet name="No Size Limit (1)" sheetId="8" r:id="rId6"/>
    <sheet name="No Size Limit (2)" sheetId="11" r:id="rId7"/>
    <sheet name="Reduce DMR (1)" sheetId="9" r:id="rId8"/>
    <sheet name="Reduce DMR (2)" sheetId="12" r:id="rId9"/>
    <sheet name="Proof of Concept" sheetId="1" r:id="rId10"/>
    <sheet name="Selectivities" sheetId="4" r:id="rId11"/>
    <sheet name="SAA" sheetId="5" r:id="rId12"/>
  </sheets>
  <definedNames>
    <definedName name="a">SAA!$B$8:$C$8</definedName>
    <definedName name="age" localSheetId="3">'Excluders (1)'!$K$3:$AI$3</definedName>
    <definedName name="age" localSheetId="4">'Excluders (2)'!$K$3:$AI$3</definedName>
    <definedName name="age" localSheetId="2">FixedPSCLimit!$K$3:$AI$3</definedName>
    <definedName name="age" localSheetId="5">'No Size Limit (1)'!$K$3:$AI$3</definedName>
    <definedName name="age" localSheetId="6">'No Size Limit (2)'!$K$3:$AI$3</definedName>
    <definedName name="age" localSheetId="7">'Reduce DMR (1)'!$K$3:$AI$3</definedName>
    <definedName name="age" localSheetId="8">'Reduce DMR (2)'!$K$3:$AI$3</definedName>
    <definedName name="Age" localSheetId="11">SAA!$A$12:$A$41</definedName>
    <definedName name="Age" localSheetId="10">Selectivities!$E$1:$AH$1</definedName>
    <definedName name="age" localSheetId="1">'Status Quo'!$K$3:$AI$3</definedName>
    <definedName name="age">'Proof of Concept'!$K$3:$AI$3</definedName>
    <definedName name="ah" localSheetId="3">'Excluders (1)'!$G$18:$G$20</definedName>
    <definedName name="ah" localSheetId="4">'Excluders (2)'!$G$18:$G$20</definedName>
    <definedName name="ah" localSheetId="2">FixedPSCLimit!$G$18:$G$20</definedName>
    <definedName name="ah" localSheetId="5">'No Size Limit (1)'!$G$18:$G$20</definedName>
    <definedName name="ah" localSheetId="6">'No Size Limit (2)'!$G$18:$G$20</definedName>
    <definedName name="ah" localSheetId="7">'Reduce DMR (1)'!$G$18:$G$20</definedName>
    <definedName name="ah" localSheetId="8">'Reduce DMR (2)'!$G$18:$G$20</definedName>
    <definedName name="ah" localSheetId="10">Selectivities!$A$13:$A$18</definedName>
    <definedName name="ah" localSheetId="1">'Status Quo'!$G$18:$G$20</definedName>
    <definedName name="ah">'Proof of Concept'!$G$18:$G$20</definedName>
    <definedName name="ahat">SAA!$H$1</definedName>
    <definedName name="ak">'Proof of Concept'!$B$4:$B$6</definedName>
    <definedName name="avg_wt1" localSheetId="3">'Excluders (1)'!$B$60</definedName>
    <definedName name="avg_wt1" localSheetId="4">'Excluders (2)'!$B$60</definedName>
    <definedName name="avg_wt1" localSheetId="2">FixedPSCLimit!$B$69</definedName>
    <definedName name="avg_wt1" localSheetId="5">'No Size Limit (1)'!$B$60</definedName>
    <definedName name="avg_wt1" localSheetId="6">'No Size Limit (2)'!$B$60</definedName>
    <definedName name="avg_wt1" localSheetId="7">'Reduce DMR (1)'!$B$60</definedName>
    <definedName name="avg_wt1" localSheetId="8">'Reduce DMR (2)'!$B$60</definedName>
    <definedName name="avg_wt1">'Status Quo'!$B$60</definedName>
    <definedName name="avg_wt2" localSheetId="3">'Excluders (1)'!$B$61</definedName>
    <definedName name="avg_wt2" localSheetId="4">'Excluders (2)'!$B$61</definedName>
    <definedName name="avg_wt2" localSheetId="2">FixedPSCLimit!$B$70</definedName>
    <definedName name="avg_wt2" localSheetId="5">'No Size Limit (1)'!$B$61</definedName>
    <definedName name="avg_wt2" localSheetId="6">'No Size Limit (2)'!$B$61</definedName>
    <definedName name="avg_wt2" localSheetId="7">'Reduce DMR (1)'!$B$61</definedName>
    <definedName name="avg_wt2" localSheetId="8">'Reduce DMR (2)'!$B$61</definedName>
    <definedName name="avg_wt2">'Status Quo'!$B$61</definedName>
    <definedName name="avg_wt3" localSheetId="3">'Excluders (1)'!$B$62</definedName>
    <definedName name="avg_wt3" localSheetId="4">'Excluders (2)'!$B$62</definedName>
    <definedName name="avg_wt3" localSheetId="2">FixedPSCLimit!$B$71</definedName>
    <definedName name="avg_wt3" localSheetId="5">'No Size Limit (1)'!$B$62</definedName>
    <definedName name="avg_wt3" localSheetId="6">'No Size Limit (2)'!$B$62</definedName>
    <definedName name="avg_wt3" localSheetId="7">'Reduce DMR (1)'!$B$62</definedName>
    <definedName name="avg_wt3" localSheetId="8">'Reduce DMR (2)'!$B$62</definedName>
    <definedName name="avg_wt3">'Status Quo'!$B$62</definedName>
    <definedName name="b">SAA!$B$7:$C$7</definedName>
    <definedName name="Bo" localSheetId="3">'Excluders (1)'!$B$18</definedName>
    <definedName name="Bo" localSheetId="4">'Excluders (2)'!$B$18</definedName>
    <definedName name="Bo" localSheetId="2">FixedPSCLimit!$B$27</definedName>
    <definedName name="Bo" localSheetId="5">'No Size Limit (1)'!$B$18</definedName>
    <definedName name="Bo" localSheetId="6">'No Size Limit (2)'!$B$18</definedName>
    <definedName name="Bo" localSheetId="7">'Reduce DMR (1)'!$B$18</definedName>
    <definedName name="Bo" localSheetId="8">'Reduce DMR (2)'!$B$18</definedName>
    <definedName name="Bo" localSheetId="1">'Status Quo'!$B$18</definedName>
    <definedName name="Bo">'Proof of Concept'!$B$18</definedName>
    <definedName name="daq21_" localSheetId="3">'Excluders (1)'!$K$38:$AI$38</definedName>
    <definedName name="daq21_" localSheetId="4">'Excluders (2)'!$K$38:$AI$38</definedName>
    <definedName name="daq21_" localSheetId="2">FixedPSCLimit!$K$38:$AI$38</definedName>
    <definedName name="daq21_" localSheetId="5">'No Size Limit (1)'!$K$38:$AI$38</definedName>
    <definedName name="daq21_" localSheetId="6">'No Size Limit (2)'!$K$38:$AI$38</definedName>
    <definedName name="daq21_" localSheetId="7">'Reduce DMR (1)'!$K$38:$AI$38</definedName>
    <definedName name="daq21_" localSheetId="8">'Reduce DMR (2)'!$K$38:$AI$38</definedName>
    <definedName name="daq21_" localSheetId="1">'Status Quo'!$K$38:$AI$38</definedName>
    <definedName name="daq21_">'Proof of Concept'!$K$38:$AI$38</definedName>
    <definedName name="dlz1_" localSheetId="3">'Excluders (1)'!$K$31:$AI$31</definedName>
    <definedName name="dlz1_" localSheetId="4">'Excluders (2)'!$K$31:$AI$31</definedName>
    <definedName name="dlz1_" localSheetId="2">FixedPSCLimit!$K$31:$AI$31</definedName>
    <definedName name="dlz1_" localSheetId="5">'No Size Limit (1)'!$K$31:$AI$31</definedName>
    <definedName name="dlz1_" localSheetId="6">'No Size Limit (2)'!$K$31:$AI$31</definedName>
    <definedName name="dlz1_" localSheetId="7">'Reduce DMR (1)'!$K$31:$AI$31</definedName>
    <definedName name="dlz1_" localSheetId="8">'Reduce DMR (2)'!$K$31:$AI$31</definedName>
    <definedName name="dlz1_" localSheetId="1">'Status Quo'!$K$31:$AI$31</definedName>
    <definedName name="dlz1_">'Proof of Concept'!$K$31:$AI$31</definedName>
    <definedName name="dlz2_" localSheetId="3">'Excluders (1)'!$K$32:$AI$32</definedName>
    <definedName name="dlz2_" localSheetId="4">'Excluders (2)'!$K$32:$AI$32</definedName>
    <definedName name="dlz2_" localSheetId="2">FixedPSCLimit!$K$32:$AI$32</definedName>
    <definedName name="dlz2_" localSheetId="5">'No Size Limit (1)'!$K$32:$AI$32</definedName>
    <definedName name="dlz2_" localSheetId="6">'No Size Limit (2)'!$K$32:$AI$32</definedName>
    <definedName name="dlz2_" localSheetId="7">'Reduce DMR (1)'!$K$32:$AI$32</definedName>
    <definedName name="dlz2_" localSheetId="8">'Reduce DMR (2)'!$K$32:$AI$32</definedName>
    <definedName name="dlz2_" localSheetId="1">'Status Quo'!$K$32:$AI$32</definedName>
    <definedName name="dlz2_">'Proof of Concept'!$K$32:$AI$32</definedName>
    <definedName name="dlz3_" localSheetId="3">'Excluders (1)'!$K$33:$AI$33</definedName>
    <definedName name="dlz3_" localSheetId="4">'Excluders (2)'!$K$33:$AI$33</definedName>
    <definedName name="dlz3_" localSheetId="2">FixedPSCLimit!$K$33:$AI$33</definedName>
    <definedName name="dlz3_" localSheetId="5">'No Size Limit (1)'!$K$33:$AI$33</definedName>
    <definedName name="dlz3_" localSheetId="6">'No Size Limit (2)'!$K$33:$AI$33</definedName>
    <definedName name="dlz3_" localSheetId="7">'Reduce DMR (1)'!$K$33:$AI$33</definedName>
    <definedName name="dlz3_" localSheetId="8">'Reduce DMR (2)'!$K$33:$AI$33</definedName>
    <definedName name="dlz3_" localSheetId="1">'Status Quo'!$K$33:$AI$33</definedName>
    <definedName name="dlz3_">'Proof of Concept'!$K$33:$AI$33</definedName>
    <definedName name="dmr" localSheetId="3">'Excluders (1)'!$F$18:$F$20</definedName>
    <definedName name="dmr" localSheetId="4">'Excluders (2)'!$F$18:$F$20</definedName>
    <definedName name="dmr" localSheetId="2">FixedPSCLimit!$F$18:$F$20</definedName>
    <definedName name="dmr" localSheetId="5">'No Size Limit (1)'!$F$18:$F$20</definedName>
    <definedName name="dmr" localSheetId="6">'No Size Limit (2)'!$F$18:$F$20</definedName>
    <definedName name="dmr" localSheetId="7">'Reduce DMR (1)'!$F$18:$F$20</definedName>
    <definedName name="dmr" localSheetId="8">'Reduce DMR (2)'!$F$18:$F$20</definedName>
    <definedName name="dmr" localSheetId="1">'Status Quo'!$F$18:$F$20</definedName>
    <definedName name="dmr">'Proof of Concept'!$F$18:$F$20</definedName>
    <definedName name="dphif" localSheetId="3">'Excluders (1)'!$G$31:$G$33</definedName>
    <definedName name="dphif" localSheetId="4">'Excluders (2)'!$G$31:$G$33</definedName>
    <definedName name="dphif" localSheetId="2">FixedPSCLimit!$G$31:$G$33</definedName>
    <definedName name="dphif" localSheetId="5">'No Size Limit (1)'!$G$31:$G$33</definedName>
    <definedName name="dphif" localSheetId="6">'No Size Limit (2)'!$G$31:$G$33</definedName>
    <definedName name="dphif" localSheetId="9">'Proof of Concept'!$G$31:$G$33</definedName>
    <definedName name="dphif" localSheetId="7">'Reduce DMR (1)'!$G$31:$G$33</definedName>
    <definedName name="dphif" localSheetId="8">'Reduce DMR (2)'!$G$31:$G$33</definedName>
    <definedName name="dphif" localSheetId="1">'Status Quo'!$G$31:$G$33</definedName>
    <definedName name="dqa1_" localSheetId="3">'Excluders (1)'!$K$35:$AI$35</definedName>
    <definedName name="dqa1_" localSheetId="4">'Excluders (2)'!$K$35:$AI$35</definedName>
    <definedName name="dqa1_" localSheetId="2">FixedPSCLimit!$K$35:$AI$35</definedName>
    <definedName name="dqa1_" localSheetId="5">'No Size Limit (1)'!$K$35:$AI$35</definedName>
    <definedName name="dqa1_" localSheetId="6">'No Size Limit (2)'!$K$35:$AI$35</definedName>
    <definedName name="dqa1_" localSheetId="7">'Reduce DMR (1)'!$K$35:$AI$35</definedName>
    <definedName name="dqa1_" localSheetId="8">'Reduce DMR (2)'!$K$35:$AI$35</definedName>
    <definedName name="dqa1_" localSheetId="1">'Status Quo'!$K$35:$AI$35</definedName>
    <definedName name="dqa1_">'Proof of Concept'!$K$35:$AI$35</definedName>
    <definedName name="dqa11_" localSheetId="3">'Excluders (1)'!$K$35:$AI$35</definedName>
    <definedName name="dqa11_" localSheetId="4">'Excluders (2)'!$K$35:$AI$35</definedName>
    <definedName name="dqa11_" localSheetId="2">FixedPSCLimit!$K$35:$AI$35</definedName>
    <definedName name="dqa11_" localSheetId="5">'No Size Limit (1)'!$K$35:$AI$35</definedName>
    <definedName name="dqa11_" localSheetId="6">'No Size Limit (2)'!$K$35:$AI$35</definedName>
    <definedName name="dqa11_" localSheetId="7">'Reduce DMR (1)'!$K$35:$AI$35</definedName>
    <definedName name="dqa11_" localSheetId="8">'Reduce DMR (2)'!$K$35:$AI$35</definedName>
    <definedName name="dqa11_" localSheetId="1">'Status Quo'!$K$35:$AI$35</definedName>
    <definedName name="dqa11_">'Proof of Concept'!$K$35:$AI$35</definedName>
    <definedName name="dqa12_" localSheetId="3">'Excluders (1)'!$K$40:$AI$40</definedName>
    <definedName name="dqa12_" localSheetId="4">'Excluders (2)'!$K$40:$AI$40</definedName>
    <definedName name="dqa12_" localSheetId="2">FixedPSCLimit!$K$40:$AI$40</definedName>
    <definedName name="dqa12_" localSheetId="5">'No Size Limit (1)'!$K$40:$AI$40</definedName>
    <definedName name="dqa12_" localSheetId="6">'No Size Limit (2)'!$K$40:$AI$40</definedName>
    <definedName name="dqa12_" localSheetId="7">'Reduce DMR (1)'!$K$40:$AI$40</definedName>
    <definedName name="dqa12_" localSheetId="8">'Reduce DMR (2)'!$K$40:$AI$40</definedName>
    <definedName name="dqa12_" localSheetId="1">'Status Quo'!$K$40:$AI$40</definedName>
    <definedName name="dqa12_">'Proof of Concept'!$K$40:$AI$40</definedName>
    <definedName name="dqa13_" localSheetId="3">'Excluders (1)'!$K$42:$AI$42</definedName>
    <definedName name="dqa13_" localSheetId="4">'Excluders (2)'!$K$42:$AI$42</definedName>
    <definedName name="dqa13_" localSheetId="2">FixedPSCLimit!$K$42:$AI$42</definedName>
    <definedName name="dqa13_" localSheetId="5">'No Size Limit (1)'!$K$42:$AI$42</definedName>
    <definedName name="dqa13_" localSheetId="6">'No Size Limit (2)'!$K$42:$AI$42</definedName>
    <definedName name="dqa13_" localSheetId="7">'Reduce DMR (1)'!$K$42:$AI$42</definedName>
    <definedName name="dqa13_" localSheetId="8">'Reduce DMR (2)'!$K$42:$AI$42</definedName>
    <definedName name="dqa13_" localSheetId="1">'Status Quo'!$K$42:$AI$42</definedName>
    <definedName name="dqa13_">'Proof of Concept'!$K$42:$AI$42</definedName>
    <definedName name="dqa2_" localSheetId="3">'Excluders (1)'!$K$36:$AI$36</definedName>
    <definedName name="dqa2_" localSheetId="4">'Excluders (2)'!$K$36:$AI$36</definedName>
    <definedName name="dqa2_" localSheetId="2">FixedPSCLimit!$K$36:$AI$36</definedName>
    <definedName name="dqa2_" localSheetId="5">'No Size Limit (1)'!$K$36:$AI$36</definedName>
    <definedName name="dqa2_" localSheetId="6">'No Size Limit (2)'!$K$36:$AI$36</definedName>
    <definedName name="dqa2_" localSheetId="7">'Reduce DMR (1)'!$K$36:$AI$36</definedName>
    <definedName name="dqa2_" localSheetId="8">'Reduce DMR (2)'!$K$36:$AI$36</definedName>
    <definedName name="dqa2_" localSheetId="1">'Status Quo'!$K$36:$AI$36</definedName>
    <definedName name="dqa2_">'Proof of Concept'!$K$36:$AI$36</definedName>
    <definedName name="dqa21_" localSheetId="3">'Excluders (1)'!$K$38:$AI$38</definedName>
    <definedName name="dqa21_" localSheetId="4">'Excluders (2)'!$K$38:$AI$38</definedName>
    <definedName name="dqa21_" localSheetId="2">FixedPSCLimit!$K$38:$AI$38</definedName>
    <definedName name="dqa21_" localSheetId="5">'No Size Limit (1)'!$K$38:$AI$38</definedName>
    <definedName name="dqa21_" localSheetId="6">'No Size Limit (2)'!$K$38:$AI$38</definedName>
    <definedName name="dqa21_" localSheetId="7">'Reduce DMR (1)'!$K$38:$AI$38</definedName>
    <definedName name="dqa21_" localSheetId="8">'Reduce DMR (2)'!$K$38:$AI$38</definedName>
    <definedName name="dqa21_" localSheetId="1">'Status Quo'!$K$38:$AI$38</definedName>
    <definedName name="dqa21_">'Proof of Concept'!$K$38:$AI$38</definedName>
    <definedName name="dqa22_" localSheetId="3">'Excluders (1)'!$K$36:$AI$36</definedName>
    <definedName name="dqa22_" localSheetId="4">'Excluders (2)'!$K$36:$AI$36</definedName>
    <definedName name="dqa22_" localSheetId="2">FixedPSCLimit!$K$36:$AI$36</definedName>
    <definedName name="dqa22_" localSheetId="5">'No Size Limit (1)'!$K$36:$AI$36</definedName>
    <definedName name="dqa22_" localSheetId="6">'No Size Limit (2)'!$K$36:$AI$36</definedName>
    <definedName name="dqa22_" localSheetId="7">'Reduce DMR (1)'!$K$36:$AI$36</definedName>
    <definedName name="dqa22_" localSheetId="8">'Reduce DMR (2)'!$K$36:$AI$36</definedName>
    <definedName name="dqa22_" localSheetId="1">'Status Quo'!$K$36:$AI$36</definedName>
    <definedName name="dqa22_">'Proof of Concept'!$K$36:$AI$36</definedName>
    <definedName name="dqa23_" localSheetId="3">'Excluders (1)'!$K$43:$AI$43</definedName>
    <definedName name="dqa23_" localSheetId="4">'Excluders (2)'!$K$43:$AI$43</definedName>
    <definedName name="dqa23_" localSheetId="2">FixedPSCLimit!$K$43:$AI$43</definedName>
    <definedName name="dqa23_" localSheetId="5">'No Size Limit (1)'!$K$43:$AI$43</definedName>
    <definedName name="dqa23_" localSheetId="6">'No Size Limit (2)'!$K$43:$AI$43</definedName>
    <definedName name="dqa23_" localSheetId="7">'Reduce DMR (1)'!$K$43:$AI$43</definedName>
    <definedName name="dqa23_" localSheetId="8">'Reduce DMR (2)'!$K$43:$AI$43</definedName>
    <definedName name="dqa23_" localSheetId="1">'Status Quo'!$K$43:$AI$43</definedName>
    <definedName name="dqa23_">'Proof of Concept'!$K$43:$AI$43</definedName>
    <definedName name="dqa3_" localSheetId="3">'Excluders (1)'!$K$37:$AI$37</definedName>
    <definedName name="dqa3_" localSheetId="4">'Excluders (2)'!$K$37:$AI$37</definedName>
    <definedName name="dqa3_" localSheetId="2">FixedPSCLimit!$K$37:$AI$37</definedName>
    <definedName name="dqa3_" localSheetId="5">'No Size Limit (1)'!$K$37:$AI$37</definedName>
    <definedName name="dqa3_" localSheetId="6">'No Size Limit (2)'!$K$37:$AI$37</definedName>
    <definedName name="dqa3_" localSheetId="7">'Reduce DMR (1)'!$K$37:$AI$37</definedName>
    <definedName name="dqa3_" localSheetId="8">'Reduce DMR (2)'!$K$37:$AI$37</definedName>
    <definedName name="dqa3_" localSheetId="1">'Status Quo'!$K$37:$AI$37</definedName>
    <definedName name="dqa3_">'Proof of Concept'!$K$37:$AI$37</definedName>
    <definedName name="dqa31_" localSheetId="3">'Excluders (1)'!$K$39:$AI$39</definedName>
    <definedName name="dqa31_" localSheetId="4">'Excluders (2)'!$K$39:$AI$39</definedName>
    <definedName name="dqa31_" localSheetId="2">FixedPSCLimit!$K$39:$AI$39</definedName>
    <definedName name="dqa31_" localSheetId="5">'No Size Limit (1)'!$K$39:$AI$39</definedName>
    <definedName name="dqa31_" localSheetId="6">'No Size Limit (2)'!$K$39:$AI$39</definedName>
    <definedName name="dqa31_" localSheetId="7">'Reduce DMR (1)'!$K$39:$AI$39</definedName>
    <definedName name="dqa31_" localSheetId="8">'Reduce DMR (2)'!$K$39:$AI$39</definedName>
    <definedName name="dqa31_" localSheetId="1">'Status Quo'!$K$39:$AI$39</definedName>
    <definedName name="dqa31_">'Proof of Concept'!$K$39:$AI$39</definedName>
    <definedName name="dqa32_" localSheetId="3">'Excluders (1)'!$K$41:$AI$41</definedName>
    <definedName name="dqa32_" localSheetId="4">'Excluders (2)'!$K$41:$AI$41</definedName>
    <definedName name="dqa32_" localSheetId="2">FixedPSCLimit!$K$41:$AI$41</definedName>
    <definedName name="dqa32_" localSheetId="5">'No Size Limit (1)'!$K$41:$AI$41</definedName>
    <definedName name="dqa32_" localSheetId="6">'No Size Limit (2)'!$K$41:$AI$41</definedName>
    <definedName name="dqa32_" localSheetId="7">'Reduce DMR (1)'!$K$41:$AI$41</definedName>
    <definedName name="dqa32_" localSheetId="8">'Reduce DMR (2)'!$K$41:$AI$41</definedName>
    <definedName name="dqa32_" localSheetId="1">'Status Quo'!$K$41:$AI$41</definedName>
    <definedName name="dqa32_">'Proof of Concept'!$K$41:$AI$41</definedName>
    <definedName name="dqa33_" localSheetId="3">'Excluders (1)'!$K$37:$AI$37</definedName>
    <definedName name="dqa33_" localSheetId="4">'Excluders (2)'!$K$37:$AI$37</definedName>
    <definedName name="dqa33_" localSheetId="2">FixedPSCLimit!$K$37:$AI$37</definedName>
    <definedName name="dqa33_" localSheetId="5">'No Size Limit (1)'!$K$37:$AI$37</definedName>
    <definedName name="dqa33_" localSheetId="6">'No Size Limit (2)'!$K$37:$AI$37</definedName>
    <definedName name="dqa33_" localSheetId="7">'Reduce DMR (1)'!$K$37:$AI$37</definedName>
    <definedName name="dqa33_" localSheetId="8">'Reduce DMR (2)'!$K$37:$AI$37</definedName>
    <definedName name="dqa33_" localSheetId="1">'Status Quo'!$K$37:$AI$37</definedName>
    <definedName name="dqa33_">'Proof of Concept'!$K$37:$AI$37</definedName>
    <definedName name="dre" localSheetId="3">'Excluders (1)'!$H$31:$H$33</definedName>
    <definedName name="dre" localSheetId="4">'Excluders (2)'!$H$31:$H$33</definedName>
    <definedName name="dre" localSheetId="2">FixedPSCLimit!$H$31:$H$33</definedName>
    <definedName name="dre" localSheetId="5">'No Size Limit (1)'!$H$31:$H$33</definedName>
    <definedName name="dre" localSheetId="6">'No Size Limit (2)'!$H$31:$H$33</definedName>
    <definedName name="dre" localSheetId="7">'Reduce DMR (1)'!$H$31:$H$33</definedName>
    <definedName name="dre" localSheetId="8">'Reduce DMR (2)'!$H$31:$H$33</definedName>
    <definedName name="dre" localSheetId="1">'Status Quo'!$H$31:$H$33</definedName>
    <definedName name="dre">'Proof of Concept'!$H$31:$H$33</definedName>
    <definedName name="f1_" localSheetId="3">'Excluders (1)'!$B$27</definedName>
    <definedName name="f1_" localSheetId="4">'Excluders (2)'!$B$27</definedName>
    <definedName name="f1_" localSheetId="2">FixedPSCLimit!$B$36</definedName>
    <definedName name="f1_" localSheetId="5">'No Size Limit (1)'!$B$27</definedName>
    <definedName name="f1_" localSheetId="6">'No Size Limit (2)'!$B$27</definedName>
    <definedName name="f1_" localSheetId="7">'Reduce DMR (1)'!$B$27</definedName>
    <definedName name="f1_" localSheetId="8">'Reduce DMR (2)'!$B$27</definedName>
    <definedName name="f1_" localSheetId="1">'Status Quo'!$B$27</definedName>
    <definedName name="f1_">'Proof of Concept'!$B$27</definedName>
    <definedName name="f2_" localSheetId="3">'Excluders (1)'!$B$28</definedName>
    <definedName name="f2_" localSheetId="4">'Excluders (2)'!$B$28</definedName>
    <definedName name="f2_" localSheetId="2">FixedPSCLimit!$B$37</definedName>
    <definedName name="f2_" localSheetId="5">'No Size Limit (1)'!$B$28</definedName>
    <definedName name="f2_" localSheetId="6">'No Size Limit (2)'!$B$28</definedName>
    <definedName name="f2_" localSheetId="7">'Reduce DMR (1)'!$B$28</definedName>
    <definedName name="f2_" localSheetId="8">'Reduce DMR (2)'!$B$28</definedName>
    <definedName name="f2_" localSheetId="1">'Status Quo'!$B$28</definedName>
    <definedName name="f2_">'Proof of Concept'!$B$28</definedName>
    <definedName name="f3_" localSheetId="3">'Excluders (1)'!$B$29</definedName>
    <definedName name="f3_" localSheetId="4">'Excluders (2)'!$B$29</definedName>
    <definedName name="f3_" localSheetId="2">FixedPSCLimit!$B$38</definedName>
    <definedName name="f3_" localSheetId="5">'No Size Limit (1)'!$B$29</definedName>
    <definedName name="f3_" localSheetId="6">'No Size Limit (2)'!$B$29</definedName>
    <definedName name="f3_" localSheetId="7">'Reduce DMR (1)'!$B$29</definedName>
    <definedName name="f3_" localSheetId="8">'Reduce DMR (2)'!$B$29</definedName>
    <definedName name="f3_" localSheetId="1">'Status Quo'!$B$29</definedName>
    <definedName name="f3_">'Proof of Concept'!$B$29</definedName>
    <definedName name="fbar" localSheetId="3">'Excluders (1)'!$B$30</definedName>
    <definedName name="fbar" localSheetId="4">'Excluders (2)'!$B$30</definedName>
    <definedName name="fbar" localSheetId="2">FixedPSCLimit!$B$39</definedName>
    <definedName name="fbar" localSheetId="5">'No Size Limit (1)'!$B$30</definedName>
    <definedName name="fbar" localSheetId="6">'No Size Limit (2)'!$B$30</definedName>
    <definedName name="fbar" localSheetId="7">'Reduce DMR (1)'!$B$30</definedName>
    <definedName name="fbar" localSheetId="8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3">'Excluders (1)'!$K$18:$AI$18</definedName>
    <definedName name="flt1_" localSheetId="4">'Excluders (2)'!$K$18:$AI$18</definedName>
    <definedName name="flt1_" localSheetId="2">FixedPSCLimit!$K$18:$AI$18</definedName>
    <definedName name="flt1_" localSheetId="5">'No Size Limit (1)'!$K$18:$AI$18</definedName>
    <definedName name="flt1_" localSheetId="6">'No Size Limit (2)'!$K$18:$AI$18</definedName>
    <definedName name="flt1_" localSheetId="7">'Reduce DMR (1)'!$K$18:$AI$18</definedName>
    <definedName name="flt1_" localSheetId="8">'Reduce DMR (2)'!$K$18:$AI$18</definedName>
    <definedName name="flt1_" localSheetId="1">'Status Quo'!$K$18:$AI$18</definedName>
    <definedName name="flt1_">'Proof of Concept'!$K$18:$AI$18</definedName>
    <definedName name="flt2_" localSheetId="3">'Excluders (1)'!$K$19:$AI$19</definedName>
    <definedName name="flt2_" localSheetId="4">'Excluders (2)'!$K$19:$AI$19</definedName>
    <definedName name="flt2_" localSheetId="2">FixedPSCLimit!$K$19:$AI$19</definedName>
    <definedName name="flt2_" localSheetId="5">'No Size Limit (1)'!$K$19:$AI$19</definedName>
    <definedName name="flt2_" localSheetId="6">'No Size Limit (2)'!$K$19:$AI$19</definedName>
    <definedName name="flt2_" localSheetId="7">'Reduce DMR (1)'!$K$19:$AI$19</definedName>
    <definedName name="flt2_" localSheetId="8">'Reduce DMR (2)'!$K$19:$AI$19</definedName>
    <definedName name="flt2_" localSheetId="1">'Status Quo'!$K$19:$AI$19</definedName>
    <definedName name="flt2_">'Proof of Concept'!$K$19:$AI$19</definedName>
    <definedName name="flt3_" localSheetId="3">'Excluders (1)'!$K$20:$AI$20</definedName>
    <definedName name="flt3_" localSheetId="4">'Excluders (2)'!$K$20:$AI$20</definedName>
    <definedName name="flt3_" localSheetId="2">FixedPSCLimit!$K$20:$AI$20</definedName>
    <definedName name="flt3_" localSheetId="5">'No Size Limit (1)'!$K$20:$AI$20</definedName>
    <definedName name="flt3_" localSheetId="6">'No Size Limit (2)'!$K$20:$AI$20</definedName>
    <definedName name="flt3_" localSheetId="7">'Reduce DMR (1)'!$K$20:$AI$20</definedName>
    <definedName name="flt3_" localSheetId="8">'Reduce DMR (2)'!$K$20:$AI$20</definedName>
    <definedName name="flt3_" localSheetId="1">'Status Quo'!$K$20:$AI$20</definedName>
    <definedName name="flt3_">'Proof of Concept'!$K$20:$AI$20</definedName>
    <definedName name="ftotal" localSheetId="3">'Excluders (1)'!$B$31</definedName>
    <definedName name="ftotal" localSheetId="4">'Excluders (2)'!$B$31</definedName>
    <definedName name="ftotal" localSheetId="2">FixedPSCLimit!$B$40</definedName>
    <definedName name="ftotal" localSheetId="5">'No Size Limit (1)'!$B$31</definedName>
    <definedName name="ftotal" localSheetId="6">'No Size Limit (2)'!$B$31</definedName>
    <definedName name="ftotal" localSheetId="7">'Reduce DMR (1)'!$B$31</definedName>
    <definedName name="ftotal" localSheetId="8">'Reduce DMR (2)'!$B$31</definedName>
    <definedName name="ftotal" localSheetId="1">'Status Quo'!$B$31</definedName>
    <definedName name="ftotal">#REF!</definedName>
    <definedName name="g" localSheetId="3">'Excluders (1)'!$I$18:$I$20</definedName>
    <definedName name="g" localSheetId="4">'Excluders (2)'!$I$18:$I$20</definedName>
    <definedName name="g" localSheetId="2">FixedPSCLimit!$I$18:$I$20</definedName>
    <definedName name="g" localSheetId="5">'No Size Limit (1)'!$I$18:$I$20</definedName>
    <definedName name="g" localSheetId="6">'No Size Limit (2)'!$I$18:$I$20</definedName>
    <definedName name="g" localSheetId="7">'Reduce DMR (1)'!$I$18:$I$20</definedName>
    <definedName name="g" localSheetId="8">'Reduce DMR (2)'!$I$18:$I$20</definedName>
    <definedName name="g" localSheetId="10">Selectivities!$C$13:$C$18</definedName>
    <definedName name="g" localSheetId="1">'Status Quo'!$I$18:$I$20</definedName>
    <definedName name="g">'Proof of Concept'!$I$18:$I$20</definedName>
    <definedName name="gamma" localSheetId="3">'Excluders (1)'!$I$18:$I$20</definedName>
    <definedName name="gamma" localSheetId="4">'Excluders (2)'!$I$18:$I$20</definedName>
    <definedName name="gamma" localSheetId="2">FixedPSCLimit!$I$18:$I$20</definedName>
    <definedName name="gamma" localSheetId="5">'No Size Limit (1)'!$I$18:$I$20</definedName>
    <definedName name="gamma" localSheetId="6">'No Size Limit (2)'!$I$18:$I$20</definedName>
    <definedName name="gamma" localSheetId="7">'Reduce DMR (1)'!$I$18:$I$20</definedName>
    <definedName name="gamma" localSheetId="8">'Reduce DMR (2)'!$I$18:$I$20</definedName>
    <definedName name="gamma" localSheetId="1">'Status Quo'!$I$18:$I$20</definedName>
    <definedName name="gamma">'Proof of Concept'!$I$18:$I$20</definedName>
    <definedName name="gh" localSheetId="3">'Excluders (1)'!$H$18:$H$20</definedName>
    <definedName name="gh" localSheetId="4">'Excluders (2)'!$H$18:$H$20</definedName>
    <definedName name="gh" localSheetId="2">FixedPSCLimit!$H$18:$H$20</definedName>
    <definedName name="gh" localSheetId="5">'No Size Limit (1)'!$H$18:$H$20</definedName>
    <definedName name="gh" localSheetId="6">'No Size Limit (2)'!$H$18:$H$20</definedName>
    <definedName name="gh" localSheetId="7">'Reduce DMR (1)'!$H$18:$H$20</definedName>
    <definedName name="gh" localSheetId="8">'Reduce DMR (2)'!$H$18:$H$20</definedName>
    <definedName name="gh" localSheetId="10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 localSheetId="2">FixedPSCLimit!$F$1</definedName>
    <definedName name="hh">'Status Quo'!$F$1</definedName>
    <definedName name="k">SAA!$B$3:$C$3</definedName>
    <definedName name="KK">'Proof of Concept'!$F$34</definedName>
    <definedName name="len" localSheetId="3">'Excluders (1)'!$K$4:$AI$4</definedName>
    <definedName name="len" localSheetId="4">'Excluders (2)'!$K$4:$AI$4</definedName>
    <definedName name="len" localSheetId="2">FixedPSCLimit!$K$4:$AI$4</definedName>
    <definedName name="len" localSheetId="5">'No Size Limit (1)'!$K$4:$AI$4</definedName>
    <definedName name="len" localSheetId="6">'No Size Limit (2)'!$K$4:$AI$4</definedName>
    <definedName name="len" localSheetId="7">'Reduce DMR (1)'!$K$4:$AI$4</definedName>
    <definedName name="len" localSheetId="8">'Reduce DMR (2)'!$K$4:$AI$4</definedName>
    <definedName name="Len" localSheetId="10">Selectivities!$E$2:$AH$2</definedName>
    <definedName name="len" localSheetId="1">'Status Quo'!$K$4:$AI$4</definedName>
    <definedName name="len">'Proof of Concept'!$K$4:$AI$4</definedName>
    <definedName name="linf" localSheetId="3">'Excluders (1)'!$B$22</definedName>
    <definedName name="linf" localSheetId="4">'Excluders (2)'!$B$22</definedName>
    <definedName name="linf" localSheetId="2">FixedPSCLimit!$B$31</definedName>
    <definedName name="linf" localSheetId="5">'No Size Limit (1)'!$B$22</definedName>
    <definedName name="linf" localSheetId="6">'No Size Limit (2)'!$B$22</definedName>
    <definedName name="linf" localSheetId="7">'Reduce DMR (1)'!$B$22</definedName>
    <definedName name="linf" localSheetId="8">'Reduce DMR (2)'!$B$22</definedName>
    <definedName name="linf" localSheetId="11">SAA!$B$2:$C$2</definedName>
    <definedName name="linf" localSheetId="1">'Status Quo'!$B$22</definedName>
    <definedName name="linf">'Proof of Concept'!$B$22</definedName>
    <definedName name="lx" localSheetId="3">'Excluders (1)'!$K$6:$AI$6</definedName>
    <definedName name="lx" localSheetId="4">'Excluders (2)'!$K$6:$AI$6</definedName>
    <definedName name="lx" localSheetId="2">FixedPSCLimit!$K$6:$AI$6</definedName>
    <definedName name="lx" localSheetId="5">'No Size Limit (1)'!$K$6:$AI$6</definedName>
    <definedName name="lx" localSheetId="6">'No Size Limit (2)'!$K$6:$AI$6</definedName>
    <definedName name="lx" localSheetId="7">'Reduce DMR (1)'!$K$6:$AI$6</definedName>
    <definedName name="lx" localSheetId="8">'Reduce DMR (2)'!$K$6:$AI$6</definedName>
    <definedName name="lx" localSheetId="1">'Status Quo'!$K$6:$AI$6</definedName>
    <definedName name="lx">'Proof of Concept'!$K$6:$AI$6</definedName>
    <definedName name="lz" localSheetId="3">'Excluders (1)'!$K$7:$AI$7</definedName>
    <definedName name="lz" localSheetId="4">'Excluders (2)'!$K$7:$AI$7</definedName>
    <definedName name="lz" localSheetId="2">FixedPSCLimit!$K$7:$AI$7</definedName>
    <definedName name="lz" localSheetId="5">'No Size Limit (1)'!$K$7:$AI$7</definedName>
    <definedName name="lz" localSheetId="6">'No Size Limit (2)'!$K$7:$AI$7</definedName>
    <definedName name="lz" localSheetId="7">'Reduce DMR (1)'!$K$7:$AI$7</definedName>
    <definedName name="lz" localSheetId="8">'Reduce DMR (2)'!$K$7:$AI$7</definedName>
    <definedName name="lz" localSheetId="1">'Status Quo'!$K$7:$AI$7</definedName>
    <definedName name="lz">'Proof of Concept'!$K$7:$AI$7</definedName>
    <definedName name="M" localSheetId="3">'Excluders (1)'!$B$20</definedName>
    <definedName name="M" localSheetId="4">'Excluders (2)'!$B$20</definedName>
    <definedName name="M" localSheetId="2">FixedPSCLimit!$B$29</definedName>
    <definedName name="M" localSheetId="5">'No Size Limit (1)'!$B$20</definedName>
    <definedName name="M" localSheetId="6">'No Size Limit (2)'!$B$20</definedName>
    <definedName name="M" localSheetId="7">'Reduce DMR (1)'!$B$20</definedName>
    <definedName name="M" localSheetId="8">'Reduce DMR (2)'!$B$20</definedName>
    <definedName name="M" localSheetId="1">'Status Quo'!$B$20</definedName>
    <definedName name="M">'Proof of Concept'!$B$20</definedName>
    <definedName name="ma" localSheetId="3">'Excluders (1)'!$K$9:$AI$9</definedName>
    <definedName name="ma" localSheetId="4">'Excluders (2)'!$K$9:$AI$9</definedName>
    <definedName name="ma" localSheetId="2">FixedPSCLimit!$K$9:$AI$9</definedName>
    <definedName name="ma" localSheetId="5">'No Size Limit (1)'!$K$9:$AI$9</definedName>
    <definedName name="ma" localSheetId="6">'No Size Limit (2)'!$K$9:$AI$9</definedName>
    <definedName name="ma" localSheetId="7">'Reduce DMR (1)'!$K$9:$AI$9</definedName>
    <definedName name="ma" localSheetId="8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3">'Excluders (1)'!$B$56</definedName>
    <definedName name="mpr1_" localSheetId="4">'Excluders (2)'!$B$56</definedName>
    <definedName name="mpr1_" localSheetId="2">FixedPSCLimit!$B$65</definedName>
    <definedName name="mpr1_" localSheetId="5">'No Size Limit (1)'!$B$56</definedName>
    <definedName name="mpr1_" localSheetId="6">'No Size Limit (2)'!$B$56</definedName>
    <definedName name="mpr1_" localSheetId="7">'Reduce DMR (1)'!$B$56</definedName>
    <definedName name="mpr1_" localSheetId="8">'Reduce DMR (2)'!$B$56</definedName>
    <definedName name="mpr1_" localSheetId="1">'Status Quo'!$B$56</definedName>
    <definedName name="mpr1_">'Proof of Concept'!$B$53</definedName>
    <definedName name="mpr2_" localSheetId="3">'Excluders (1)'!$B$57</definedName>
    <definedName name="mpr2_" localSheetId="4">'Excluders (2)'!$B$57</definedName>
    <definedName name="mpr2_" localSheetId="2">FixedPSCLimit!$B$66</definedName>
    <definedName name="mpr2_" localSheetId="5">'No Size Limit (1)'!$B$57</definedName>
    <definedName name="mpr2_" localSheetId="6">'No Size Limit (2)'!$B$57</definedName>
    <definedName name="mpr2_" localSheetId="7">'Reduce DMR (1)'!$B$57</definedName>
    <definedName name="mpr2_" localSheetId="8">'Reduce DMR (2)'!$B$57</definedName>
    <definedName name="mpr2_" localSheetId="1">'Status Quo'!$B$57</definedName>
    <definedName name="mpr2_">'Proof of Concept'!$B$54</definedName>
    <definedName name="mpr3_" localSheetId="3">'Excluders (1)'!$B$58</definedName>
    <definedName name="mpr3_" localSheetId="4">'Excluders (2)'!$B$58</definedName>
    <definedName name="mpr3_" localSheetId="2">FixedPSCLimit!$B$67</definedName>
    <definedName name="mpr3_" localSheetId="5">'No Size Limit (1)'!$B$58</definedName>
    <definedName name="mpr3_" localSheetId="6">'No Size Limit (2)'!$B$58</definedName>
    <definedName name="mpr3_" localSheetId="7">'Reduce DMR (1)'!$B$58</definedName>
    <definedName name="mpr3_" localSheetId="8">'Reduce DMR (2)'!$B$58</definedName>
    <definedName name="mpr3_" localSheetId="1">'Status Quo'!$B$58</definedName>
    <definedName name="mpr3_">'Proof of Concept'!$B$55</definedName>
    <definedName name="oa" localSheetId="3">'Excluders (1)'!$K$11:$AI$11</definedName>
    <definedName name="oa" localSheetId="4">'Excluders (2)'!$K$11:$AI$11</definedName>
    <definedName name="oa" localSheetId="2">FixedPSCLimit!$K$11:$AI$11</definedName>
    <definedName name="oa" localSheetId="5">'No Size Limit (1)'!$K$11:$AI$11</definedName>
    <definedName name="oa" localSheetId="6">'No Size Limit (2)'!$K$11:$AI$11</definedName>
    <definedName name="oa" localSheetId="7">'Reduce DMR (1)'!$K$11:$AI$11</definedName>
    <definedName name="oa" localSheetId="8">'Reduce DMR (2)'!$K$11:$AI$11</definedName>
    <definedName name="oa" localSheetId="1">'Status Quo'!$K$11:$AI$11</definedName>
    <definedName name="oa">'Proof of Concept'!$K$11:$AI$11</definedName>
    <definedName name="phi">'Proof of Concept'!$B$38:$B$40</definedName>
    <definedName name="phi_q1" localSheetId="3">'Excluders (1)'!$B$39</definedName>
    <definedName name="phi_q1" localSheetId="4">'Excluders (2)'!$B$39</definedName>
    <definedName name="phi_q1" localSheetId="2">FixedPSCLimit!$B$48</definedName>
    <definedName name="phi_q1" localSheetId="5">'No Size Limit (1)'!$B$39</definedName>
    <definedName name="phi_q1" localSheetId="6">'No Size Limit (2)'!$B$39</definedName>
    <definedName name="phi_q1" localSheetId="7">'Reduce DMR (1)'!$B$39</definedName>
    <definedName name="phi_q1" localSheetId="8">'Reduce DMR (2)'!$B$39</definedName>
    <definedName name="phi_q1" localSheetId="1">'Status Quo'!$B$39</definedName>
    <definedName name="phi_q1">'Proof of Concept'!$B$38</definedName>
    <definedName name="phi_q2" localSheetId="3">'Excluders (1)'!$B$40</definedName>
    <definedName name="phi_q2" localSheetId="4">'Excluders (2)'!$B$40</definedName>
    <definedName name="phi_q2" localSheetId="2">FixedPSCLimit!$B$49</definedName>
    <definedName name="phi_q2" localSheetId="5">'No Size Limit (1)'!$B$40</definedName>
    <definedName name="phi_q2" localSheetId="6">'No Size Limit (2)'!$B$40</definedName>
    <definedName name="phi_q2" localSheetId="7">'Reduce DMR (1)'!$B$40</definedName>
    <definedName name="phi_q2" localSheetId="8">'Reduce DMR (2)'!$B$40</definedName>
    <definedName name="phi_q2" localSheetId="1">'Status Quo'!$B$40</definedName>
    <definedName name="phi_q2">'Proof of Concept'!$B$39</definedName>
    <definedName name="phi_q3" localSheetId="3">'Excluders (1)'!$B$41</definedName>
    <definedName name="phi_q3" localSheetId="4">'Excluders (2)'!$B$41</definedName>
    <definedName name="phi_q3" localSheetId="2">FixedPSCLimit!$B$50</definedName>
    <definedName name="phi_q3" localSheetId="5">'No Size Limit (1)'!$B$41</definedName>
    <definedName name="phi_q3" localSheetId="6">'No Size Limit (2)'!$B$41</definedName>
    <definedName name="phi_q3" localSheetId="7">'Reduce DMR (1)'!$B$41</definedName>
    <definedName name="phi_q3" localSheetId="8">'Reduce DMR (2)'!$B$41</definedName>
    <definedName name="phi_q3" localSheetId="1">'Status Quo'!$B$41</definedName>
    <definedName name="phi_q3">'Proof of Concept'!$B$40</definedName>
    <definedName name="phi_t1" localSheetId="3">'Excluders (1)'!$B$36</definedName>
    <definedName name="phi_t1" localSheetId="4">'Excluders (2)'!$B$36</definedName>
    <definedName name="phi_t1" localSheetId="2">FixedPSCLimit!$B$45</definedName>
    <definedName name="phi_t1" localSheetId="5">'No Size Limit (1)'!$B$36</definedName>
    <definedName name="phi_t1" localSheetId="6">'No Size Limit (2)'!$B$36</definedName>
    <definedName name="phi_t1" localSheetId="7">'Reduce DMR (1)'!$B$36</definedName>
    <definedName name="phi_t1" localSheetId="8">'Reduce DMR (2)'!$B$36</definedName>
    <definedName name="phi_t1" localSheetId="1">'Status Quo'!$B$36</definedName>
    <definedName name="phi_t1">'Proof of Concept'!$B$35</definedName>
    <definedName name="phi_t2" localSheetId="3">'Excluders (1)'!$B$37</definedName>
    <definedName name="phi_t2" localSheetId="4">'Excluders (2)'!$B$37</definedName>
    <definedName name="phi_t2" localSheetId="2">FixedPSCLimit!$B$46</definedName>
    <definedName name="phi_t2" localSheetId="5">'No Size Limit (1)'!$B$37</definedName>
    <definedName name="phi_t2" localSheetId="6">'No Size Limit (2)'!$B$37</definedName>
    <definedName name="phi_t2" localSheetId="7">'Reduce DMR (1)'!$B$37</definedName>
    <definedName name="phi_t2" localSheetId="8">'Reduce DMR (2)'!$B$37</definedName>
    <definedName name="phi_t2" localSheetId="1">'Status Quo'!$B$37</definedName>
    <definedName name="phi_t2">'Proof of Concept'!$B$36</definedName>
    <definedName name="phi_t3" localSheetId="3">'Excluders (1)'!$B$38</definedName>
    <definedName name="phi_t3" localSheetId="4">'Excluders (2)'!$B$38</definedName>
    <definedName name="phi_t3" localSheetId="2">FixedPSCLimit!$B$47</definedName>
    <definedName name="phi_t3" localSheetId="5">'No Size Limit (1)'!$B$38</definedName>
    <definedName name="phi_t3" localSheetId="6">'No Size Limit (2)'!$B$38</definedName>
    <definedName name="phi_t3" localSheetId="7">'Reduce DMR (1)'!$B$38</definedName>
    <definedName name="phi_t3" localSheetId="8">'Reduce DMR (2)'!$B$38</definedName>
    <definedName name="phi_t3" localSheetId="1">'Status Quo'!$B$38</definedName>
    <definedName name="phi_t3">'Proof of Concept'!$B$37</definedName>
    <definedName name="phib" localSheetId="4">'Excluders (2)'!$B$33</definedName>
    <definedName name="phib">'Excluders (1)'!$B$33</definedName>
    <definedName name="phie" localSheetId="3">'Excluders (1)'!$B$34</definedName>
    <definedName name="phie" localSheetId="4">'Excluders (2)'!$B$34</definedName>
    <definedName name="phie" localSheetId="2">FixedPSCLimit!$B$43</definedName>
    <definedName name="phie" localSheetId="5">'No Size Limit (1)'!$B$34</definedName>
    <definedName name="phie" localSheetId="6">'No Size Limit (2)'!$B$34</definedName>
    <definedName name="phie" localSheetId="7">'Reduce DMR (1)'!$B$34</definedName>
    <definedName name="phie" localSheetId="8">'Reduce DMR (2)'!$B$34</definedName>
    <definedName name="phie" localSheetId="1">'Status Quo'!$B$34</definedName>
    <definedName name="phie">'Proof of Concept'!$B$33</definedName>
    <definedName name="phif" localSheetId="3">'Excluders (1)'!$B$35</definedName>
    <definedName name="phif" localSheetId="4">'Excluders (2)'!$B$35</definedName>
    <definedName name="phif" localSheetId="2">FixedPSCLimit!$B$44</definedName>
    <definedName name="phif" localSheetId="5">'No Size Limit (1)'!$B$35</definedName>
    <definedName name="phif" localSheetId="6">'No Size Limit (2)'!$B$35</definedName>
    <definedName name="phif" localSheetId="7">'Reduce DMR (1)'!$B$35</definedName>
    <definedName name="phif" localSheetId="8">'Reduce DMR (2)'!$B$35</definedName>
    <definedName name="phif" localSheetId="1">'Status Quo'!$B$35</definedName>
    <definedName name="phif">'Proof of Concept'!$B$34</definedName>
    <definedName name="pPSC">FixedPSCLimit!$B$7</definedName>
    <definedName name="qa1_" localSheetId="3">'Excluders (1)'!$K$22:$AI$22</definedName>
    <definedName name="qa1_" localSheetId="4">'Excluders (2)'!$K$22:$AI$22</definedName>
    <definedName name="qa1_" localSheetId="2">FixedPSCLimit!$K$22:$AI$22</definedName>
    <definedName name="qa1_" localSheetId="5">'No Size Limit (1)'!$K$22:$AI$22</definedName>
    <definedName name="qa1_" localSheetId="6">'No Size Limit (2)'!$K$22:$AI$22</definedName>
    <definedName name="qa1_" localSheetId="7">'Reduce DMR (1)'!$K$22:$AI$22</definedName>
    <definedName name="qa1_" localSheetId="8">'Reduce DMR (2)'!$K$22:$AI$22</definedName>
    <definedName name="qa1_" localSheetId="1">'Status Quo'!$K$22:$AI$22</definedName>
    <definedName name="qa1_">'Proof of Concept'!$K$22:$AI$22</definedName>
    <definedName name="qa2_" localSheetId="3">'Excluders (1)'!$K$23:$AI$23</definedName>
    <definedName name="qa2_" localSheetId="4">'Excluders (2)'!$K$23:$AI$23</definedName>
    <definedName name="qa2_" localSheetId="2">FixedPSCLimit!$K$23:$AI$23</definedName>
    <definedName name="qa2_" localSheetId="5">'No Size Limit (1)'!$K$23:$AI$23</definedName>
    <definedName name="qa2_" localSheetId="6">'No Size Limit (2)'!$K$23:$AI$23</definedName>
    <definedName name="qa2_" localSheetId="7">'Reduce DMR (1)'!$K$23:$AI$23</definedName>
    <definedName name="qa2_" localSheetId="8">'Reduce DMR (2)'!$K$23:$AI$23</definedName>
    <definedName name="qa2_" localSheetId="1">'Status Quo'!$K$23:$AI$23</definedName>
    <definedName name="qa2_">'Proof of Concept'!$K$23:$AI$23</definedName>
    <definedName name="qa3_" localSheetId="3">'Excluders (1)'!$K$24:$AI$24</definedName>
    <definedName name="qa3_" localSheetId="4">'Excluders (2)'!$K$24:$AI$24</definedName>
    <definedName name="qa3_" localSheetId="2">FixedPSCLimit!$K$24:$AI$24</definedName>
    <definedName name="qa3_" localSheetId="5">'No Size Limit (1)'!$K$24:$AI$24</definedName>
    <definedName name="qa3_" localSheetId="6">'No Size Limit (2)'!$K$24:$AI$24</definedName>
    <definedName name="qa3_" localSheetId="7">'Reduce DMR (1)'!$K$24:$AI$24</definedName>
    <definedName name="qa3_" localSheetId="8">'Reduce DMR (2)'!$K$24:$AI$24</definedName>
    <definedName name="qa3_" localSheetId="1">'Status Quo'!$K$24:$AI$24</definedName>
    <definedName name="qa3_">'Proof of Concept'!$K$24:$AI$24</definedName>
    <definedName name="re" localSheetId="3">'Excluders (1)'!$B$47</definedName>
    <definedName name="re" localSheetId="4">'Excluders (2)'!$B$47</definedName>
    <definedName name="re" localSheetId="2">FixedPSCLimit!$B$56</definedName>
    <definedName name="re" localSheetId="5">'No Size Limit (1)'!$B$47</definedName>
    <definedName name="re" localSheetId="6">'No Size Limit (2)'!$B$47</definedName>
    <definedName name="re" localSheetId="7">'Reduce DMR (1)'!$B$47</definedName>
    <definedName name="re" localSheetId="8">'Reduce DMR (2)'!$B$47</definedName>
    <definedName name="re" localSheetId="1">'Status Quo'!$B$47</definedName>
    <definedName name="re">'Proof of Concept'!$B$44</definedName>
    <definedName name="reck" localSheetId="3">'Excluders (1)'!$B$19</definedName>
    <definedName name="reck" localSheetId="4">'Excluders (2)'!$B$19</definedName>
    <definedName name="reck" localSheetId="2">FixedPSCLimit!$B$28</definedName>
    <definedName name="reck" localSheetId="5">'No Size Limit (1)'!$B$19</definedName>
    <definedName name="reck" localSheetId="6">'No Size Limit (2)'!$B$19</definedName>
    <definedName name="reck" localSheetId="7">'Reduce DMR (1)'!$B$19</definedName>
    <definedName name="reck" localSheetId="8">'Reduce DMR (2)'!$B$19</definedName>
    <definedName name="reck" localSheetId="1">'Status Quo'!$B$19</definedName>
    <definedName name="reck">'Proof of Concept'!$B$19</definedName>
    <definedName name="Ro" localSheetId="3">'Excluders (1)'!$B$21</definedName>
    <definedName name="Ro" localSheetId="4">'Excluders (2)'!$B$21</definedName>
    <definedName name="Ro" localSheetId="2">FixedPSCLimit!$B$30</definedName>
    <definedName name="Ro" localSheetId="5">'No Size Limit (1)'!$B$21</definedName>
    <definedName name="Ro" localSheetId="6">'No Size Limit (2)'!$B$21</definedName>
    <definedName name="Ro" localSheetId="7">'Reduce DMR (1)'!$B$21</definedName>
    <definedName name="Ro" localSheetId="8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3">'Excluders (1)'!$K$10:$AI$10</definedName>
    <definedName name="sa" localSheetId="4">'Excluders (2)'!$K$10:$AI$10</definedName>
    <definedName name="sa" localSheetId="2">FixedPSCLimit!$K$10:$AI$10</definedName>
    <definedName name="sa" localSheetId="5">'No Size Limit (1)'!$K$10:$AI$10</definedName>
    <definedName name="sa" localSheetId="6">'No Size Limit (2)'!$K$10:$AI$10</definedName>
    <definedName name="sa" localSheetId="7">'Reduce DMR (1)'!$K$10:$AI$10</definedName>
    <definedName name="sa" localSheetId="8">'Reduce DMR (2)'!$K$10:$AI$10</definedName>
    <definedName name="sa" localSheetId="1">'Status Quo'!$K$10:$AI$10</definedName>
    <definedName name="sa">'Proof of Concept'!$K$10:$AI$10</definedName>
    <definedName name="slim" localSheetId="3">'Excluders (1)'!$E$18:$E$20</definedName>
    <definedName name="slim" localSheetId="4">'Excluders (2)'!$E$18:$E$20</definedName>
    <definedName name="slim" localSheetId="2">FixedPSCLimit!$E$18:$E$20</definedName>
    <definedName name="slim" localSheetId="5">'No Size Limit (1)'!$E$18:$E$20</definedName>
    <definedName name="slim" localSheetId="6">'No Size Limit (2)'!$E$18:$E$20</definedName>
    <definedName name="slim" localSheetId="7">'Reduce DMR (1)'!$E$18:$E$20</definedName>
    <definedName name="slim" localSheetId="8">'Reduce DMR (2)'!$E$18:$E$20</definedName>
    <definedName name="slim" localSheetId="1">'Status Quo'!$E$18:$E$20</definedName>
    <definedName name="slim">'Proof of Concept'!$E$18:$E$20</definedName>
    <definedName name="solver_adj" localSheetId="3" hidden="1">'Excluders (1)'!$B$30</definedName>
    <definedName name="solver_adj" localSheetId="4" hidden="1">'Excluders (2)'!$B$30</definedName>
    <definedName name="solver_adj" localSheetId="2" hidden="1">FixedPSCLimit!$B$39,FixedPSCLimit!$B$7</definedName>
    <definedName name="solver_adj" localSheetId="5" hidden="1">'No Size Limit (1)'!$B$30</definedName>
    <definedName name="solver_adj" localSheetId="6" hidden="1">'No Size Limit (2)'!$B$30</definedName>
    <definedName name="solver_adj" localSheetId="9" hidden="1">'Proof of Concept'!$B$30</definedName>
    <definedName name="solver_adj" localSheetId="7" hidden="1">'Reduce DMR (1)'!$B$30</definedName>
    <definedName name="solver_adj" localSheetId="8" hidden="1">'Reduce DMR (2)'!$B$30</definedName>
    <definedName name="solver_adj" localSheetId="11" hidden="1">SAA!$M$1:$O$1,SAA!$M$2:$O$2,SAA!$M$3:$O$3</definedName>
    <definedName name="solver_adj" localSheetId="10" hidden="1">Selectivities!$A$13:$A$18,Selectivities!$B$13:$B$18,Selectivities!$C$13:$C$18</definedName>
    <definedName name="solver_adj" localSheetId="1" hidden="1">'Status Quo'!$B$30</definedName>
    <definedName name="solver_cvg" localSheetId="3" hidden="1">0.000001</definedName>
    <definedName name="solver_cvg" localSheetId="4" hidden="1">0.000001</definedName>
    <definedName name="solver_cvg" localSheetId="2" hidden="1">0.000001</definedName>
    <definedName name="solver_cvg" localSheetId="5" hidden="1">0.000001</definedName>
    <definedName name="solver_cvg" localSheetId="6" hidden="1">0.000001</definedName>
    <definedName name="solver_cvg" localSheetId="9" hidden="1">0.0001</definedName>
    <definedName name="solver_cvg" localSheetId="7" hidden="1">0.000001</definedName>
    <definedName name="solver_cvg" localSheetId="8" hidden="1">0.000001</definedName>
    <definedName name="solver_cvg" localSheetId="11" hidden="1">0.0001</definedName>
    <definedName name="solver_cvg" localSheetId="10" hidden="1">0.0001</definedName>
    <definedName name="solver_cvg" localSheetId="1" hidden="1">0.000001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drv" localSheetId="9" hidden="1">1</definedName>
    <definedName name="solver_drv" localSheetId="7" hidden="1">1</definedName>
    <definedName name="solver_drv" localSheetId="8" hidden="1">1</definedName>
    <definedName name="solver_drv" localSheetId="11" hidden="1">1</definedName>
    <definedName name="solver_drv" localSheetId="10" hidden="1">1</definedName>
    <definedName name="solver_drv" localSheetId="1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ng" localSheetId="5" hidden="1">1</definedName>
    <definedName name="solver_eng" localSheetId="6" hidden="1">1</definedName>
    <definedName name="solver_eng" localSheetId="9" hidden="1">1</definedName>
    <definedName name="solver_eng" localSheetId="7" hidden="1">1</definedName>
    <definedName name="solver_eng" localSheetId="8" hidden="1">1</definedName>
    <definedName name="solver_eng" localSheetId="11" hidden="1">1</definedName>
    <definedName name="solver_eng" localSheetId="10" hidden="1">1</definedName>
    <definedName name="solver_eng" localSheetId="1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itr" localSheetId="9" hidden="1">2147483647</definedName>
    <definedName name="solver_itr" localSheetId="7" hidden="1">2147483647</definedName>
    <definedName name="solver_itr" localSheetId="8" hidden="1">2147483647</definedName>
    <definedName name="solver_itr" localSheetId="11" hidden="1">2147483647</definedName>
    <definedName name="solver_itr" localSheetId="10" hidden="1">2147483647</definedName>
    <definedName name="solver_itr" localSheetId="1" hidden="1">2147483647</definedName>
    <definedName name="solver_lhs1" localSheetId="3" hidden="1">'Excluders (1)'!$B$30</definedName>
    <definedName name="solver_lhs1" localSheetId="4" hidden="1">'Excluders (2)'!$B$30</definedName>
    <definedName name="solver_lhs1" localSheetId="2" hidden="1">FixedPSCLimit!$B$39</definedName>
    <definedName name="solver_lhs1" localSheetId="5" hidden="1">'No Size Limit (1)'!$B$30</definedName>
    <definedName name="solver_lhs1" localSheetId="6" hidden="1">'No Size Limit (2)'!$B$30</definedName>
    <definedName name="solver_lhs1" localSheetId="7" hidden="1">'Reduce DMR (1)'!$B$30</definedName>
    <definedName name="solver_lhs1" localSheetId="8" hidden="1">'Reduce DMR (2)'!$B$30</definedName>
    <definedName name="solver_lhs1" localSheetId="10" hidden="1">Selectivities!$C$13:$C$18</definedName>
    <definedName name="solver_lhs1" localSheetId="1" hidden="1">'Status Quo'!$B$30</definedName>
    <definedName name="solver_lhs2" localSheetId="3" hidden="1">'Excluders (1)'!$B$30</definedName>
    <definedName name="solver_lhs2" localSheetId="4" hidden="1">'Excluders (2)'!$B$30</definedName>
    <definedName name="solver_lhs2" localSheetId="2" hidden="1">FixedPSCLimit!$B$39</definedName>
    <definedName name="solver_lhs2" localSheetId="5" hidden="1">'No Size Limit (1)'!$B$30</definedName>
    <definedName name="solver_lhs2" localSheetId="6" hidden="1">'No Size Limit (2)'!$B$30</definedName>
    <definedName name="solver_lhs2" localSheetId="7" hidden="1">'Reduce DMR (1)'!$B$30</definedName>
    <definedName name="solver_lhs2" localSheetId="8" hidden="1">'Reduce DMR (2)'!$B$30</definedName>
    <definedName name="solver_lhs2" localSheetId="10" hidden="1">Selectivities!$B$13:$B$17</definedName>
    <definedName name="solver_lhs2" localSheetId="1" hidden="1">'Status Quo'!$B$30</definedName>
    <definedName name="solver_lin" localSheetId="3" hidden="1">2</definedName>
    <definedName name="solver_lin" localSheetId="4" hidden="1">2</definedName>
    <definedName name="solver_lin" localSheetId="2" hidden="1">2</definedName>
    <definedName name="solver_lin" localSheetId="5" hidden="1">2</definedName>
    <definedName name="solver_lin" localSheetId="6" hidden="1">2</definedName>
    <definedName name="solver_lin" localSheetId="9" hidden="1">2</definedName>
    <definedName name="solver_lin" localSheetId="7" hidden="1">2</definedName>
    <definedName name="solver_lin" localSheetId="8" hidden="1">2</definedName>
    <definedName name="solver_lin" localSheetId="11" hidden="1">2</definedName>
    <definedName name="solver_lin" localSheetId="10" hidden="1">2</definedName>
    <definedName name="solver_lin" localSheetId="1" hidden="1">2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ip" localSheetId="9" hidden="1">2147483647</definedName>
    <definedName name="solver_mip" localSheetId="7" hidden="1">2147483647</definedName>
    <definedName name="solver_mip" localSheetId="8" hidden="1">2147483647</definedName>
    <definedName name="solver_mip" localSheetId="11" hidden="1">2147483647</definedName>
    <definedName name="solver_mip" localSheetId="10" hidden="1">2147483647</definedName>
    <definedName name="solver_mip" localSheetId="1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ni" localSheetId="9" hidden="1">30</definedName>
    <definedName name="solver_mni" localSheetId="7" hidden="1">30</definedName>
    <definedName name="solver_mni" localSheetId="8" hidden="1">30</definedName>
    <definedName name="solver_mni" localSheetId="11" hidden="1">30</definedName>
    <definedName name="solver_mni" localSheetId="10" hidden="1">30</definedName>
    <definedName name="solver_mni" localSheetId="1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rt" localSheetId="9" hidden="1">0.075</definedName>
    <definedName name="solver_mrt" localSheetId="7" hidden="1">0.075</definedName>
    <definedName name="solver_mrt" localSheetId="8" hidden="1">0.075</definedName>
    <definedName name="solver_mrt" localSheetId="11" hidden="1">0.075</definedName>
    <definedName name="solver_mrt" localSheetId="10" hidden="1">0.075</definedName>
    <definedName name="solver_mrt" localSheetId="1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msl" localSheetId="9" hidden="1">2</definedName>
    <definedName name="solver_msl" localSheetId="7" hidden="1">2</definedName>
    <definedName name="solver_msl" localSheetId="8" hidden="1">2</definedName>
    <definedName name="solver_msl" localSheetId="11" hidden="1">2</definedName>
    <definedName name="solver_msl" localSheetId="10" hidden="1">2</definedName>
    <definedName name="solver_msl" localSheetId="1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eg" localSheetId="5" hidden="1">1</definedName>
    <definedName name="solver_neg" localSheetId="6" hidden="1">1</definedName>
    <definedName name="solver_neg" localSheetId="9" hidden="1">1</definedName>
    <definedName name="solver_neg" localSheetId="7" hidden="1">1</definedName>
    <definedName name="solver_neg" localSheetId="8" hidden="1">1</definedName>
    <definedName name="solver_neg" localSheetId="11" hidden="1">1</definedName>
    <definedName name="solver_neg" localSheetId="10" hidden="1">1</definedName>
    <definedName name="solver_neg" localSheetId="1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od" localSheetId="9" hidden="1">2147483647</definedName>
    <definedName name="solver_nod" localSheetId="7" hidden="1">2147483647</definedName>
    <definedName name="solver_nod" localSheetId="8" hidden="1">2147483647</definedName>
    <definedName name="solver_nod" localSheetId="11" hidden="1">2147483647</definedName>
    <definedName name="solver_nod" localSheetId="10" hidden="1">2147483647</definedName>
    <definedName name="solver_nod" localSheetId="1" hidden="1">2147483647</definedName>
    <definedName name="solver_num" localSheetId="3" hidden="1">0</definedName>
    <definedName name="solver_num" localSheetId="4" hidden="1">0</definedName>
    <definedName name="solver_num" localSheetId="2" hidden="1">0</definedName>
    <definedName name="solver_num" localSheetId="5" hidden="1">0</definedName>
    <definedName name="solver_num" localSheetId="6" hidden="1">0</definedName>
    <definedName name="solver_num" localSheetId="9" hidden="1">0</definedName>
    <definedName name="solver_num" localSheetId="7" hidden="1">0</definedName>
    <definedName name="solver_num" localSheetId="8" hidden="1">0</definedName>
    <definedName name="solver_num" localSheetId="11" hidden="1">0</definedName>
    <definedName name="solver_num" localSheetId="10" hidden="1">1</definedName>
    <definedName name="solver_num" localSheetId="1" hidden="1">0</definedName>
    <definedName name="solver_opt" localSheetId="3" hidden="1">'Excluders (1)'!$C$15</definedName>
    <definedName name="solver_opt" localSheetId="4" hidden="1">'Excluders (2)'!$C$15</definedName>
    <definedName name="solver_opt" localSheetId="2" hidden="1">FixedPSCLimit!$C$24</definedName>
    <definedName name="solver_opt" localSheetId="5" hidden="1">'No Size Limit (1)'!$C$15</definedName>
    <definedName name="solver_opt" localSheetId="6" hidden="1">'No Size Limit (2)'!$C$15</definedName>
    <definedName name="solver_opt" localSheetId="9" hidden="1">'Proof of Concept'!$C$15</definedName>
    <definedName name="solver_opt" localSheetId="7" hidden="1">'Reduce DMR (1)'!$C$15</definedName>
    <definedName name="solver_opt" localSheetId="8" hidden="1">'Reduce DMR (2)'!$C$15</definedName>
    <definedName name="solver_opt" localSheetId="11" hidden="1">SAA!$M$4</definedName>
    <definedName name="solver_opt" localSheetId="10" hidden="1">Selectivities!$B$1</definedName>
    <definedName name="solver_opt" localSheetId="1" hidden="1">'Status Quo'!$C$15</definedName>
    <definedName name="solver_pre" localSheetId="3" hidden="1">0.000000001</definedName>
    <definedName name="solver_pre" localSheetId="4" hidden="1">0.000000001</definedName>
    <definedName name="solver_pre" localSheetId="2" hidden="1">0.000000001</definedName>
    <definedName name="solver_pre" localSheetId="5" hidden="1">0.000000001</definedName>
    <definedName name="solver_pre" localSheetId="6" hidden="1">0.000000001</definedName>
    <definedName name="solver_pre" localSheetId="9" hidden="1">0.000000001</definedName>
    <definedName name="solver_pre" localSheetId="7" hidden="1">0.000000001</definedName>
    <definedName name="solver_pre" localSheetId="8" hidden="1">0.000000001</definedName>
    <definedName name="solver_pre" localSheetId="11" hidden="1">0.000001</definedName>
    <definedName name="solver_pre" localSheetId="10" hidden="1">0.000001</definedName>
    <definedName name="solver_pre" localSheetId="1" hidden="1">0.000000001</definedName>
    <definedName name="solver_rbv" localSheetId="3" hidden="1">2</definedName>
    <definedName name="solver_rbv" localSheetId="4" hidden="1">2</definedName>
    <definedName name="solver_rbv" localSheetId="2" hidden="1">2</definedName>
    <definedName name="solver_rbv" localSheetId="5" hidden="1">2</definedName>
    <definedName name="solver_rbv" localSheetId="6" hidden="1">2</definedName>
    <definedName name="solver_rbv" localSheetId="9" hidden="1">1</definedName>
    <definedName name="solver_rbv" localSheetId="7" hidden="1">2</definedName>
    <definedName name="solver_rbv" localSheetId="8" hidden="1">2</definedName>
    <definedName name="solver_rbv" localSheetId="11" hidden="1">1</definedName>
    <definedName name="solver_rbv" localSheetId="10" hidden="1">2</definedName>
    <definedName name="solver_rbv" localSheetId="1" hidden="1">2</definedName>
    <definedName name="solver_rel1" localSheetId="3" hidden="1">1</definedName>
    <definedName name="solver_rel1" localSheetId="4" hidden="1">1</definedName>
    <definedName name="solver_rel1" localSheetId="2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10" hidden="1">3</definedName>
    <definedName name="solver_rel1" localSheetId="1" hidden="1">1</definedName>
    <definedName name="solver_rel2" localSheetId="3" hidden="1">3</definedName>
    <definedName name="solver_rel2" localSheetId="4" hidden="1">3</definedName>
    <definedName name="solver_rel2" localSheetId="2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10" hidden="1">3</definedName>
    <definedName name="solver_rel2" localSheetId="1" hidden="1">3</definedName>
    <definedName name="solver_rhs1" localSheetId="3" hidden="1">2</definedName>
    <definedName name="solver_rhs1" localSheetId="4" hidden="1">2</definedName>
    <definedName name="solver_rhs1" localSheetId="2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8" hidden="1">2</definedName>
    <definedName name="solver_rhs1" localSheetId="10" hidden="1">0.00001</definedName>
    <definedName name="solver_rhs1" localSheetId="1" hidden="1">2</definedName>
    <definedName name="solver_rhs2" localSheetId="3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10" hidden="1">0.001</definedName>
    <definedName name="solver_rhs2" localSheetId="1" hidden="1">0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lx" localSheetId="9" hidden="1">2</definedName>
    <definedName name="solver_rlx" localSheetId="7" hidden="1">2</definedName>
    <definedName name="solver_rlx" localSheetId="8" hidden="1">2</definedName>
    <definedName name="solver_rlx" localSheetId="11" hidden="1">2</definedName>
    <definedName name="solver_rlx" localSheetId="10" hidden="1">2</definedName>
    <definedName name="solver_rlx" localSheetId="1" hidden="1">2</definedName>
    <definedName name="solver_rsd" localSheetId="3" hidden="1">123</definedName>
    <definedName name="solver_rsd" localSheetId="4" hidden="1">123</definedName>
    <definedName name="solver_rsd" localSheetId="2" hidden="1">123</definedName>
    <definedName name="solver_rsd" localSheetId="5" hidden="1">123</definedName>
    <definedName name="solver_rsd" localSheetId="6" hidden="1">123</definedName>
    <definedName name="solver_rsd" localSheetId="9" hidden="1">0</definedName>
    <definedName name="solver_rsd" localSheetId="7" hidden="1">123</definedName>
    <definedName name="solver_rsd" localSheetId="8" hidden="1">123</definedName>
    <definedName name="solver_rsd" localSheetId="11" hidden="1">0</definedName>
    <definedName name="solver_rsd" localSheetId="10" hidden="1">0</definedName>
    <definedName name="solver_rsd" localSheetId="1" hidden="1">123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cl" localSheetId="9" hidden="1">1</definedName>
    <definedName name="solver_scl" localSheetId="7" hidden="1">1</definedName>
    <definedName name="solver_scl" localSheetId="8" hidden="1">1</definedName>
    <definedName name="solver_scl" localSheetId="11" hidden="1">1</definedName>
    <definedName name="solver_scl" localSheetId="10" hidden="1">1</definedName>
    <definedName name="solver_scl" localSheetId="1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ho" localSheetId="7" hidden="1">2</definedName>
    <definedName name="solver_sho" localSheetId="8" hidden="1">2</definedName>
    <definedName name="solver_sho" localSheetId="11" hidden="1">2</definedName>
    <definedName name="solver_sho" localSheetId="10" hidden="1">2</definedName>
    <definedName name="solver_sho" localSheetId="1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ssz" localSheetId="9" hidden="1">100</definedName>
    <definedName name="solver_ssz" localSheetId="7" hidden="1">100</definedName>
    <definedName name="solver_ssz" localSheetId="8" hidden="1">100</definedName>
    <definedName name="solver_ssz" localSheetId="11" hidden="1">100</definedName>
    <definedName name="solver_ssz" localSheetId="10" hidden="1">100</definedName>
    <definedName name="solver_ssz" localSheetId="1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im" localSheetId="9" hidden="1">2147483647</definedName>
    <definedName name="solver_tim" localSheetId="7" hidden="1">2147483647</definedName>
    <definedName name="solver_tim" localSheetId="8" hidden="1">2147483647</definedName>
    <definedName name="solver_tim" localSheetId="11" hidden="1">2147483647</definedName>
    <definedName name="solver_tim" localSheetId="10" hidden="1">2147483647</definedName>
    <definedName name="solver_tim" localSheetId="1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ol" localSheetId="9" hidden="1">0.01</definedName>
    <definedName name="solver_tol" localSheetId="7" hidden="1">0.01</definedName>
    <definedName name="solver_tol" localSheetId="8" hidden="1">0.01</definedName>
    <definedName name="solver_tol" localSheetId="11" hidden="1">0.01</definedName>
    <definedName name="solver_tol" localSheetId="10" hidden="1">0.01</definedName>
    <definedName name="solver_tol" localSheetId="1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typ" localSheetId="6" hidden="1">2</definedName>
    <definedName name="solver_typ" localSheetId="9" hidden="1">2</definedName>
    <definedName name="solver_typ" localSheetId="7" hidden="1">2</definedName>
    <definedName name="solver_typ" localSheetId="8" hidden="1">2</definedName>
    <definedName name="solver_typ" localSheetId="11" hidden="1">2</definedName>
    <definedName name="solver_typ" localSheetId="10" hidden="1">2</definedName>
    <definedName name="solver_typ" localSheetId="1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al" localSheetId="9" hidden="1">0</definedName>
    <definedName name="solver_val" localSheetId="7" hidden="1">0</definedName>
    <definedName name="solver_val" localSheetId="8" hidden="1">0</definedName>
    <definedName name="solver_val" localSheetId="11" hidden="1">0</definedName>
    <definedName name="solver_val" localSheetId="10" hidden="1">0</definedName>
    <definedName name="solver_val" localSheetId="1" hidden="1">0</definedName>
    <definedName name="solver_ver" localSheetId="3" hidden="1">2</definedName>
    <definedName name="solver_ver" localSheetId="4" hidden="1">2</definedName>
    <definedName name="solver_ver" localSheetId="2" hidden="1">2</definedName>
    <definedName name="solver_ver" localSheetId="5" hidden="1">2</definedName>
    <definedName name="solver_ver" localSheetId="6" hidden="1">2</definedName>
    <definedName name="solver_ver" localSheetId="9" hidden="1">2</definedName>
    <definedName name="solver_ver" localSheetId="7" hidden="1">2</definedName>
    <definedName name="solver_ver" localSheetId="8" hidden="1">2</definedName>
    <definedName name="solver_ver" localSheetId="11" hidden="1">2</definedName>
    <definedName name="solver_ver" localSheetId="10" hidden="1">2</definedName>
    <definedName name="solver_ver" localSheetId="1" hidden="1">2</definedName>
    <definedName name="spr" localSheetId="3">'Excluders (1)'!$B$46</definedName>
    <definedName name="spr" localSheetId="4">'Excluders (2)'!$B$46</definedName>
    <definedName name="spr" localSheetId="2">FixedPSCLimit!$B$55</definedName>
    <definedName name="spr" localSheetId="5">'No Size Limit (1)'!$B$46</definedName>
    <definedName name="spr" localSheetId="6">'No Size Limit (2)'!$B$46</definedName>
    <definedName name="spr" localSheetId="7">'Reduce DMR (1)'!$B$46</definedName>
    <definedName name="spr" localSheetId="8">'Reduce DMR (2)'!$B$46</definedName>
    <definedName name="spr" localSheetId="1">'Status Quo'!$B$46</definedName>
    <definedName name="spr">'Proof of Concept'!$B$43</definedName>
    <definedName name="sr" localSheetId="3">'Excluders (1)'!$K$12:$AI$12</definedName>
    <definedName name="sr" localSheetId="4">'Excluders (2)'!$K$12:$AI$12</definedName>
    <definedName name="sr" localSheetId="2">FixedPSCLimit!$K$12:$AI$12</definedName>
    <definedName name="sr" localSheetId="5">'No Size Limit (1)'!$K$12:$AI$12</definedName>
    <definedName name="sr" localSheetId="6">'No Size Limit (2)'!$K$12:$AI$12</definedName>
    <definedName name="sr" localSheetId="7">'Reduce DMR (1)'!$K$12:$AI$12</definedName>
    <definedName name="sr" localSheetId="8">'Reduce DMR (2)'!$K$12:$AI$12</definedName>
    <definedName name="sr" localSheetId="1">'Status Quo'!$K$12:$AI$12</definedName>
    <definedName name="sr">'Proof of Concept'!$K$12:$AI$12</definedName>
    <definedName name="sr_1" localSheetId="3">'Excluders (1)'!$K$12:$AI$12</definedName>
    <definedName name="sr_1" localSheetId="4">'Excluders (2)'!$K$12:$AI$12</definedName>
    <definedName name="sr_1" localSheetId="2">FixedPSCLimit!$K$12:$AI$12</definedName>
    <definedName name="sr_1" localSheetId="5">'No Size Limit (1)'!$K$12:$AI$12</definedName>
    <definedName name="sr_1" localSheetId="6">'No Size Limit (2)'!$K$12:$AI$12</definedName>
    <definedName name="sr_1" localSheetId="7">'Reduce DMR (1)'!$K$12:$AI$12</definedName>
    <definedName name="sr_1" localSheetId="8">'Reduce DMR (2)'!$K$12:$AI$12</definedName>
    <definedName name="sr_1" localSheetId="1">'Status Quo'!$K$12:$AI$12</definedName>
    <definedName name="sr_1">#REF!</definedName>
    <definedName name="sr_2" localSheetId="3">'Excluders (1)'!$K$13:$AI$13</definedName>
    <definedName name="sr_2" localSheetId="4">'Excluders (2)'!$K$13:$AI$13</definedName>
    <definedName name="sr_2" localSheetId="2">FixedPSCLimit!$K$13:$AI$13</definedName>
    <definedName name="sr_2" localSheetId="5">'No Size Limit (1)'!$K$13:$AI$13</definedName>
    <definedName name="sr_2" localSheetId="6">'No Size Limit (2)'!$K$13:$AI$13</definedName>
    <definedName name="sr_2" localSheetId="7">'Reduce DMR (1)'!$K$13:$AI$13</definedName>
    <definedName name="sr_2" localSheetId="8">'Reduce DMR (2)'!$K$13:$AI$13</definedName>
    <definedName name="sr_2" localSheetId="1">'Status Quo'!$K$13:$AI$13</definedName>
    <definedName name="sr_2">#REF!</definedName>
    <definedName name="sr_3" localSheetId="3">'Excluders (1)'!$K$14:$AI$14</definedName>
    <definedName name="sr_3" localSheetId="4">'Excluders (2)'!$K$14:$AI$14</definedName>
    <definedName name="sr_3" localSheetId="2">FixedPSCLimit!$K$14:$AI$14</definedName>
    <definedName name="sr_3" localSheetId="5">'No Size Limit (1)'!$K$14:$AI$14</definedName>
    <definedName name="sr_3" localSheetId="6">'No Size Limit (2)'!$K$14:$AI$14</definedName>
    <definedName name="sr_3" localSheetId="7">'Reduce DMR (1)'!$K$14:$AI$14</definedName>
    <definedName name="sr_3" localSheetId="8">'Reduce DMR (2)'!$K$14:$AI$14</definedName>
    <definedName name="sr_3" localSheetId="1">'Status Quo'!$K$14:$AI$14</definedName>
    <definedName name="sr_3">#REF!</definedName>
    <definedName name="SS">SAA!$B$10</definedName>
    <definedName name="ta1_" localSheetId="3">'Excluders (1)'!$K$26:$AI$26</definedName>
    <definedName name="ta1_" localSheetId="4">'Excluders (2)'!$K$26:$AI$26</definedName>
    <definedName name="ta1_" localSheetId="2">FixedPSCLimit!$K$26:$AI$26</definedName>
    <definedName name="ta1_" localSheetId="5">'No Size Limit (1)'!$K$26:$AI$26</definedName>
    <definedName name="ta1_" localSheetId="6">'No Size Limit (2)'!$K$26:$AI$26</definedName>
    <definedName name="ta1_" localSheetId="7">'Reduce DMR (1)'!$K$26:$AI$26</definedName>
    <definedName name="ta1_" localSheetId="8">'Reduce DMR (2)'!$K$26:$AI$26</definedName>
    <definedName name="ta1_" localSheetId="1">'Status Quo'!$K$26:$AI$26</definedName>
    <definedName name="ta1_">'Proof of Concept'!$K$26:$AI$26</definedName>
    <definedName name="ta2_" localSheetId="3">'Excluders (1)'!$K$27:$AI$27</definedName>
    <definedName name="ta2_" localSheetId="4">'Excluders (2)'!$K$27:$AI$27</definedName>
    <definedName name="ta2_" localSheetId="2">FixedPSCLimit!$K$27:$AI$27</definedName>
    <definedName name="ta2_" localSheetId="5">'No Size Limit (1)'!$K$27:$AI$27</definedName>
    <definedName name="ta2_" localSheetId="6">'No Size Limit (2)'!$K$27:$AI$27</definedName>
    <definedName name="ta2_" localSheetId="7">'Reduce DMR (1)'!$K$27:$AI$27</definedName>
    <definedName name="ta2_" localSheetId="8">'Reduce DMR (2)'!$K$27:$AI$27</definedName>
    <definedName name="ta2_" localSheetId="1">'Status Quo'!$K$27:$AI$27</definedName>
    <definedName name="ta2_">'Proof of Concept'!$K$27:$AI$27</definedName>
    <definedName name="ta3_" localSheetId="3">'Excluders (1)'!$K$28:$AI$28</definedName>
    <definedName name="ta3_" localSheetId="4">'Excluders (2)'!$K$28:$AI$28</definedName>
    <definedName name="ta3_" localSheetId="2">FixedPSCLimit!$K$28:$AI$28</definedName>
    <definedName name="ta3_" localSheetId="5">'No Size Limit (1)'!$K$28:$AI$28</definedName>
    <definedName name="ta3_" localSheetId="6">'No Size Limit (2)'!$K$28:$AI$28</definedName>
    <definedName name="ta3_" localSheetId="7">'Reduce DMR (1)'!$K$28:$AI$28</definedName>
    <definedName name="ta3_" localSheetId="8">'Reduce DMR (2)'!$K$28:$AI$28</definedName>
    <definedName name="ta3_" localSheetId="1">'Status Quo'!$K$28:$AI$28</definedName>
    <definedName name="ta3_">'Proof of Concept'!$K$28:$AI$28</definedName>
    <definedName name="tau">'Proof of Concept'!$B$41</definedName>
    <definedName name="to" localSheetId="3">'Excluders (1)'!$B$24</definedName>
    <definedName name="to" localSheetId="4">'Excluders (2)'!$B$24</definedName>
    <definedName name="to" localSheetId="2">FixedPSCLimit!$B$33</definedName>
    <definedName name="to" localSheetId="5">'No Size Limit (1)'!$B$24</definedName>
    <definedName name="to" localSheetId="6">'No Size Limit (2)'!$B$24</definedName>
    <definedName name="to" localSheetId="7">'Reduce DMR (1)'!$B$24</definedName>
    <definedName name="to" localSheetId="8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3">'Excluders (1)'!$B$23</definedName>
    <definedName name="vonbk" localSheetId="4">'Excluders (2)'!$B$23</definedName>
    <definedName name="vonbk" localSheetId="2">FixedPSCLimit!$B$32</definedName>
    <definedName name="vonbk" localSheetId="5">'No Size Limit (1)'!$B$23</definedName>
    <definedName name="vonbk" localSheetId="6">'No Size Limit (2)'!$B$23</definedName>
    <definedName name="vonbk" localSheetId="7">'Reduce DMR (1)'!$B$23</definedName>
    <definedName name="vonbk" localSheetId="8">'Reduce DMR (2)'!$B$23</definedName>
    <definedName name="vonbk" localSheetId="1">'Status Quo'!$B$23</definedName>
    <definedName name="vonbk">'Proof of Concept'!$B$23</definedName>
    <definedName name="wa" localSheetId="3">'Excluders (1)'!$K$5:$AI$5</definedName>
    <definedName name="wa" localSheetId="4">'Excluders (2)'!$K$5:$AI$5</definedName>
    <definedName name="wa" localSheetId="2">FixedPSCLimit!$K$5:$AI$5</definedName>
    <definedName name="wa" localSheetId="5">'No Size Limit (1)'!$K$5:$AI$5</definedName>
    <definedName name="wa" localSheetId="6">'No Size Limit (2)'!$K$5:$AI$5</definedName>
    <definedName name="wa" localSheetId="7">'Reduce DMR (1)'!$K$5:$AI$5</definedName>
    <definedName name="wa" localSheetId="8">'Reduce DMR (2)'!$K$5:$AI$5</definedName>
    <definedName name="Wa" localSheetId="11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3">'Excluders (1)'!$B$48</definedName>
    <definedName name="ye_1" localSheetId="4">'Excluders (2)'!$B$48</definedName>
    <definedName name="ye_1" localSheetId="2">FixedPSCLimit!$B$57</definedName>
    <definedName name="ye_1" localSheetId="5">'No Size Limit (1)'!$B$48</definedName>
    <definedName name="ye_1" localSheetId="6">'No Size Limit (2)'!$B$48</definedName>
    <definedName name="ye_1" localSheetId="7">'Reduce DMR (1)'!$B$48</definedName>
    <definedName name="ye_1" localSheetId="8">'Reduce DMR (2)'!$B$48</definedName>
    <definedName name="ye_1" localSheetId="1">'Status Quo'!$B$48</definedName>
    <definedName name="ye_1">'Proof of Concept'!$B$45</definedName>
    <definedName name="ye_2" localSheetId="3">'Excluders (1)'!$B$49</definedName>
    <definedName name="ye_2" localSheetId="4">'Excluders (2)'!$B$49</definedName>
    <definedName name="ye_2" localSheetId="2">FixedPSCLimit!$B$58</definedName>
    <definedName name="ye_2" localSheetId="5">'No Size Limit (1)'!$B$49</definedName>
    <definedName name="ye_2" localSheetId="6">'No Size Limit (2)'!$B$49</definedName>
    <definedName name="ye_2" localSheetId="7">'Reduce DMR (1)'!$B$49</definedName>
    <definedName name="ye_2" localSheetId="8">'Reduce DMR (2)'!$B$49</definedName>
    <definedName name="ye_2" localSheetId="1">'Status Quo'!$B$49</definedName>
    <definedName name="ye_2">'Proof of Concept'!$B$46</definedName>
    <definedName name="ye_3" localSheetId="3">'Excluders (1)'!$B$50</definedName>
    <definedName name="ye_3" localSheetId="4">'Excluders (2)'!$B$50</definedName>
    <definedName name="ye_3" localSheetId="2">FixedPSCLimit!$B$59</definedName>
    <definedName name="ye_3" localSheetId="5">'No Size Limit (1)'!$B$50</definedName>
    <definedName name="ye_3" localSheetId="6">'No Size Limit (2)'!$B$50</definedName>
    <definedName name="ye_3" localSheetId="7">'Reduce DMR (1)'!$B$50</definedName>
    <definedName name="ye_3" localSheetId="8">'Reduce DMR (2)'!$B$50</definedName>
    <definedName name="ye_3" localSheetId="1">'Status Quo'!$B$50</definedName>
    <definedName name="ye_3">'Proof of Concept'!$B$47</definedName>
    <definedName name="ypr1" localSheetId="3">'Excluders (1)'!$B$53</definedName>
    <definedName name="ypr1" localSheetId="4">'Excluders (2)'!$B$53</definedName>
    <definedName name="ypr1" localSheetId="2">FixedPSCLimit!$B$62</definedName>
    <definedName name="ypr1" localSheetId="5">'No Size Limit (1)'!$B$53</definedName>
    <definedName name="ypr1" localSheetId="6">'No Size Limit (2)'!$B$53</definedName>
    <definedName name="ypr1" localSheetId="7">'Reduce DMR (1)'!$B$53</definedName>
    <definedName name="ypr1" localSheetId="8">'Reduce DMR (2)'!$B$53</definedName>
    <definedName name="ypr1" localSheetId="1">'Status Quo'!$B$53</definedName>
    <definedName name="ypr1">'Proof of Concept'!$B$50</definedName>
    <definedName name="ypr2" localSheetId="3">'Excluders (1)'!$B$54</definedName>
    <definedName name="ypr2" localSheetId="4">'Excluders (2)'!$B$54</definedName>
    <definedName name="ypr2" localSheetId="2">FixedPSCLimit!$B$63</definedName>
    <definedName name="ypr2" localSheetId="5">'No Size Limit (1)'!$B$54</definedName>
    <definedName name="ypr2" localSheetId="6">'No Size Limit (2)'!$B$54</definedName>
    <definedName name="ypr2" localSheetId="7">'Reduce DMR (1)'!$B$54</definedName>
    <definedName name="ypr2" localSheetId="8">'Reduce DMR (2)'!$B$54</definedName>
    <definedName name="ypr2" localSheetId="1">'Status Quo'!$B$54</definedName>
    <definedName name="ypr2">'Proof of Concept'!$B$51</definedName>
    <definedName name="ypr3" localSheetId="3">'Excluders (1)'!$B$55</definedName>
    <definedName name="ypr3" localSheetId="4">'Excluders (2)'!$B$55</definedName>
    <definedName name="ypr3" localSheetId="2">FixedPSCLimit!$B$64</definedName>
    <definedName name="ypr3" localSheetId="5">'No Size Limit (1)'!$B$55</definedName>
    <definedName name="ypr3" localSheetId="6">'No Size Limit (2)'!$B$55</definedName>
    <definedName name="ypr3" localSheetId="7">'Reduce DMR (1)'!$B$55</definedName>
    <definedName name="ypr3" localSheetId="8">'Reduce DMR (2)'!$B$55</definedName>
    <definedName name="ypr3" localSheetId="1">'Status Quo'!$B$55</definedName>
    <definedName name="ypr3">'Proof of Concept'!$B$52</definedName>
    <definedName name="za" localSheetId="3">'Excluders (1)'!$K$8:$AI$8</definedName>
    <definedName name="za" localSheetId="4">'Excluders (2)'!$K$8:$AI$8</definedName>
    <definedName name="za" localSheetId="2">FixedPSCLimit!$K$8:$AI$8</definedName>
    <definedName name="za" localSheetId="5">'No Size Limit (1)'!$K$8:$AI$8</definedName>
    <definedName name="za" localSheetId="6">'No Size Limit (2)'!$K$8:$AI$8</definedName>
    <definedName name="za" localSheetId="7">'Reduce DMR (1)'!$K$8:$AI$8</definedName>
    <definedName name="za" localSheetId="8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3" l="1"/>
  <c r="B8" i="13"/>
  <c r="B15" i="13"/>
  <c r="B14" i="13"/>
  <c r="B13" i="13"/>
  <c r="K7" i="13"/>
  <c r="B2" i="5"/>
  <c r="B31" i="13"/>
  <c r="B32" i="13"/>
  <c r="B33" i="13"/>
  <c r="K4" i="13"/>
  <c r="K5" i="13"/>
  <c r="I20" i="13"/>
  <c r="G20" i="13"/>
  <c r="H20" i="13"/>
  <c r="K12" i="13"/>
  <c r="K20" i="13"/>
  <c r="I19" i="13"/>
  <c r="G19" i="13"/>
  <c r="H19" i="13"/>
  <c r="K19" i="13"/>
  <c r="I18" i="13"/>
  <c r="G18" i="13"/>
  <c r="H18" i="13"/>
  <c r="K18" i="13"/>
  <c r="AI4" i="13"/>
  <c r="AI12" i="13"/>
  <c r="AI18" i="13"/>
  <c r="AI5" i="13"/>
  <c r="AH4" i="13"/>
  <c r="AH12" i="13"/>
  <c r="AH18" i="13"/>
  <c r="AH5" i="13"/>
  <c r="AG4" i="13"/>
  <c r="AG12" i="13"/>
  <c r="AG18" i="13"/>
  <c r="AG5" i="13"/>
  <c r="AF4" i="13"/>
  <c r="AF12" i="13"/>
  <c r="AF18" i="13"/>
  <c r="AF5" i="13"/>
  <c r="AE4" i="13"/>
  <c r="AE12" i="13"/>
  <c r="AE18" i="13"/>
  <c r="AE5" i="13"/>
  <c r="AD4" i="13"/>
  <c r="AD12" i="13"/>
  <c r="AD18" i="13"/>
  <c r="AD5" i="13"/>
  <c r="AC4" i="13"/>
  <c r="AC12" i="13"/>
  <c r="AC18" i="13"/>
  <c r="AC5" i="13"/>
  <c r="AB4" i="13"/>
  <c r="AB12" i="13"/>
  <c r="AB18" i="13"/>
  <c r="AB5" i="13"/>
  <c r="AA4" i="13"/>
  <c r="AA12" i="13"/>
  <c r="AA18" i="13"/>
  <c r="AA5" i="13"/>
  <c r="Z4" i="13"/>
  <c r="Z12" i="13"/>
  <c r="Z18" i="13"/>
  <c r="Z5" i="13"/>
  <c r="Y4" i="13"/>
  <c r="Y12" i="13"/>
  <c r="Y18" i="13"/>
  <c r="Y5" i="13"/>
  <c r="X4" i="13"/>
  <c r="X12" i="13"/>
  <c r="X18" i="13"/>
  <c r="X5" i="13"/>
  <c r="W4" i="13"/>
  <c r="W12" i="13"/>
  <c r="W18" i="13"/>
  <c r="W5" i="13"/>
  <c r="V4" i="13"/>
  <c r="V12" i="13"/>
  <c r="V18" i="13"/>
  <c r="V5" i="13"/>
  <c r="U4" i="13"/>
  <c r="U12" i="13"/>
  <c r="U18" i="13"/>
  <c r="U5" i="13"/>
  <c r="T4" i="13"/>
  <c r="T12" i="13"/>
  <c r="T18" i="13"/>
  <c r="T5" i="13"/>
  <c r="S4" i="13"/>
  <c r="S12" i="13"/>
  <c r="S18" i="13"/>
  <c r="S5" i="13"/>
  <c r="R4" i="13"/>
  <c r="R12" i="13"/>
  <c r="R18" i="13"/>
  <c r="R5" i="13"/>
  <c r="Q4" i="13"/>
  <c r="Q12" i="13"/>
  <c r="Q18" i="13"/>
  <c r="Q5" i="13"/>
  <c r="P4" i="13"/>
  <c r="P12" i="13"/>
  <c r="P18" i="13"/>
  <c r="P5" i="13"/>
  <c r="O4" i="13"/>
  <c r="O12" i="13"/>
  <c r="O18" i="13"/>
  <c r="O5" i="13"/>
  <c r="N4" i="13"/>
  <c r="N12" i="13"/>
  <c r="N18" i="13"/>
  <c r="N5" i="13"/>
  <c r="M4" i="13"/>
  <c r="M12" i="13"/>
  <c r="M18" i="13"/>
  <c r="M5" i="13"/>
  <c r="L4" i="13"/>
  <c r="L12" i="13"/>
  <c r="L18" i="13"/>
  <c r="L5" i="13"/>
  <c r="B22" i="13"/>
  <c r="Y14" i="13"/>
  <c r="Y20" i="13"/>
  <c r="Z20" i="13"/>
  <c r="AA20" i="13"/>
  <c r="AB20" i="13"/>
  <c r="AC20" i="13"/>
  <c r="AD20" i="13"/>
  <c r="AE20" i="13"/>
  <c r="AF20" i="13"/>
  <c r="AG20" i="13"/>
  <c r="AH20" i="13"/>
  <c r="AI20" i="13"/>
  <c r="X14" i="13"/>
  <c r="X20" i="13"/>
  <c r="W14" i="13"/>
  <c r="W20" i="13"/>
  <c r="V14" i="13"/>
  <c r="V20" i="13"/>
  <c r="U14" i="13"/>
  <c r="U20" i="13"/>
  <c r="T14" i="13"/>
  <c r="T20" i="13"/>
  <c r="S14" i="13"/>
  <c r="S20" i="13"/>
  <c r="R14" i="13"/>
  <c r="R20" i="13"/>
  <c r="Q14" i="13"/>
  <c r="Q20" i="13"/>
  <c r="P14" i="13"/>
  <c r="P20" i="13"/>
  <c r="O20" i="13"/>
  <c r="N20" i="13"/>
  <c r="M20" i="13"/>
  <c r="L20" i="13"/>
  <c r="Y13" i="13"/>
  <c r="Y19" i="13"/>
  <c r="Z19" i="13"/>
  <c r="AA19" i="13"/>
  <c r="AB19" i="13"/>
  <c r="AC19" i="13"/>
  <c r="AD19" i="13"/>
  <c r="AE19" i="13"/>
  <c r="AF19" i="13"/>
  <c r="AG19" i="13"/>
  <c r="AH19" i="13"/>
  <c r="AI19" i="13"/>
  <c r="X13" i="13"/>
  <c r="X19" i="13"/>
  <c r="W13" i="13"/>
  <c r="W19" i="13"/>
  <c r="V13" i="13"/>
  <c r="V19" i="13"/>
  <c r="U13" i="13"/>
  <c r="U19" i="13"/>
  <c r="T13" i="13"/>
  <c r="T19" i="13"/>
  <c r="S13" i="13"/>
  <c r="S19" i="13"/>
  <c r="R13" i="13"/>
  <c r="R19" i="13"/>
  <c r="Q13" i="13"/>
  <c r="Q19" i="13"/>
  <c r="P13" i="13"/>
  <c r="P19" i="13"/>
  <c r="O19" i="13"/>
  <c r="N19" i="13"/>
  <c r="M19" i="13"/>
  <c r="L19" i="13"/>
  <c r="AI14" i="13"/>
  <c r="AH14" i="13"/>
  <c r="AG14" i="13"/>
  <c r="AF14" i="13"/>
  <c r="AE14" i="13"/>
  <c r="AD14" i="13"/>
  <c r="AC14" i="13"/>
  <c r="AB14" i="13"/>
  <c r="AA14" i="13"/>
  <c r="Z14" i="13"/>
  <c r="O14" i="13"/>
  <c r="N14" i="13"/>
  <c r="M14" i="13"/>
  <c r="L14" i="13"/>
  <c r="K14" i="13"/>
  <c r="AI13" i="13"/>
  <c r="AH13" i="13"/>
  <c r="AG13" i="13"/>
  <c r="AF13" i="13"/>
  <c r="AE13" i="13"/>
  <c r="AD13" i="13"/>
  <c r="AC13" i="13"/>
  <c r="AB13" i="13"/>
  <c r="AA13" i="13"/>
  <c r="Z13" i="13"/>
  <c r="O13" i="13"/>
  <c r="N13" i="13"/>
  <c r="M13" i="13"/>
  <c r="L13" i="13"/>
  <c r="K13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B23" i="1"/>
  <c r="AI4" i="1"/>
  <c r="AI14" i="1"/>
  <c r="AH4" i="1"/>
  <c r="AH14" i="1"/>
  <c r="AG4" i="1"/>
  <c r="AG14" i="1"/>
  <c r="AF4" i="1"/>
  <c r="AF14" i="1"/>
  <c r="AE4" i="1"/>
  <c r="AE14" i="1"/>
  <c r="AD4" i="1"/>
  <c r="AD14" i="1"/>
  <c r="AC4" i="1"/>
  <c r="AC14" i="1"/>
  <c r="AB4" i="1"/>
  <c r="AB14" i="1"/>
  <c r="AA4" i="1"/>
  <c r="AA14" i="1"/>
  <c r="Z4" i="1"/>
  <c r="Z14" i="1"/>
  <c r="Y4" i="1"/>
  <c r="Y14" i="1"/>
  <c r="X4" i="1"/>
  <c r="X14" i="1"/>
  <c r="W4" i="1"/>
  <c r="W14" i="1"/>
  <c r="V4" i="1"/>
  <c r="V14" i="1"/>
  <c r="U4" i="1"/>
  <c r="U14" i="1"/>
  <c r="T4" i="1"/>
  <c r="T14" i="1"/>
  <c r="S4" i="1"/>
  <c r="S14" i="1"/>
  <c r="R4" i="1"/>
  <c r="R14" i="1"/>
  <c r="Q4" i="1"/>
  <c r="Q14" i="1"/>
  <c r="P4" i="1"/>
  <c r="P14" i="1"/>
  <c r="O4" i="1"/>
  <c r="O14" i="1"/>
  <c r="N4" i="1"/>
  <c r="N14" i="1"/>
  <c r="M4" i="1"/>
  <c r="M14" i="1"/>
  <c r="L4" i="1"/>
  <c r="L14" i="1"/>
  <c r="K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B43" i="13"/>
  <c r="B30" i="13"/>
  <c r="H6" i="13"/>
  <c r="G8" i="13"/>
  <c r="H8" i="13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F4" i="13"/>
  <c r="F5" i="13"/>
  <c r="C6" i="13"/>
  <c r="F6" i="13"/>
  <c r="C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C8" i="13"/>
  <c r="F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C9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C13" i="13"/>
  <c r="C14" i="13"/>
  <c r="C15" i="13"/>
  <c r="C16" i="13"/>
  <c r="C20" i="13"/>
  <c r="C21" i="13"/>
  <c r="C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C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C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E27" i="13"/>
  <c r="F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E28" i="13"/>
  <c r="F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E29" i="13"/>
  <c r="F29" i="13"/>
  <c r="G31" i="13"/>
  <c r="H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G32" i="13"/>
  <c r="H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G33" i="13"/>
  <c r="H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G35" i="13"/>
  <c r="H35" i="13"/>
  <c r="I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B36" i="13"/>
  <c r="C36" i="13"/>
  <c r="E36" i="13"/>
  <c r="G36" i="13"/>
  <c r="H36" i="13"/>
  <c r="I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B37" i="13"/>
  <c r="C37" i="13"/>
  <c r="E37" i="13"/>
  <c r="G37" i="13"/>
  <c r="H37" i="13"/>
  <c r="I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B38" i="13"/>
  <c r="C38" i="13"/>
  <c r="E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C39" i="13"/>
  <c r="E39" i="13"/>
  <c r="F39" i="13"/>
  <c r="G39" i="13"/>
  <c r="H39" i="13"/>
  <c r="I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B40" i="13"/>
  <c r="E40" i="13"/>
  <c r="F40" i="13"/>
  <c r="G40" i="13"/>
  <c r="H40" i="13"/>
  <c r="I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E41" i="13"/>
  <c r="F41" i="13"/>
  <c r="G41" i="13"/>
  <c r="H41" i="13"/>
  <c r="I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B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B44" i="13"/>
  <c r="B45" i="13"/>
  <c r="C45" i="13"/>
  <c r="B46" i="13"/>
  <c r="C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B47" i="13"/>
  <c r="C47" i="13"/>
  <c r="G47" i="13"/>
  <c r="H47" i="13"/>
  <c r="I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B48" i="13"/>
  <c r="C48" i="13"/>
  <c r="E48" i="13"/>
  <c r="G48" i="13"/>
  <c r="H48" i="13"/>
  <c r="I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B49" i="13"/>
  <c r="C49" i="13"/>
  <c r="E49" i="13"/>
  <c r="G49" i="13"/>
  <c r="H49" i="13"/>
  <c r="I49" i="13"/>
  <c r="B50" i="13"/>
  <c r="C50" i="13"/>
  <c r="E50" i="13"/>
  <c r="B51" i="13"/>
  <c r="R51" i="13"/>
  <c r="G52" i="13"/>
  <c r="H52" i="13"/>
  <c r="I52" i="13"/>
  <c r="R52" i="13"/>
  <c r="G53" i="13"/>
  <c r="H53" i="13"/>
  <c r="I53" i="13"/>
  <c r="J53" i="13" a="1"/>
  <c r="J53" i="13"/>
  <c r="R53" i="13"/>
  <c r="G54" i="13"/>
  <c r="H54" i="13"/>
  <c r="I54" i="13"/>
  <c r="J54" i="13"/>
  <c r="B55" i="13"/>
  <c r="G55" i="13"/>
  <c r="H55" i="13"/>
  <c r="I55" i="13"/>
  <c r="J55" i="13"/>
  <c r="B56" i="13"/>
  <c r="B57" i="13"/>
  <c r="C57" i="13"/>
  <c r="B58" i="13"/>
  <c r="C58" i="13"/>
  <c r="B59" i="13"/>
  <c r="C59" i="13"/>
  <c r="B60" i="13"/>
  <c r="B62" i="13"/>
  <c r="C62" i="13"/>
  <c r="B63" i="13"/>
  <c r="C63" i="13"/>
  <c r="B64" i="13"/>
  <c r="C64" i="13"/>
  <c r="B65" i="13"/>
  <c r="C65" i="13"/>
  <c r="B66" i="13"/>
  <c r="C66" i="13"/>
  <c r="B67" i="13"/>
  <c r="C67" i="13"/>
  <c r="B69" i="13"/>
  <c r="B70" i="13"/>
  <c r="B71" i="13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F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F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B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3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<sst xmlns="http://schemas.openxmlformats.org/spreadsheetml/2006/main" count="1176" uniqueCount="172">
  <si>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</si>
  <si>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</si>
  <si>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</si>
  <si>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</si>
  <si>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</si>
  <si>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</si>
  <si>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</si>
  <si>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</si>
  <si>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</si>
  <si>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</si>
  <si>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</si>
  <si>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</si>
  <si>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</si>
  <si>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</si>
  <si>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</si>
  <si>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</si>
  <si>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</si>
  <si>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</si>
  <si>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</si>
  <si>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</si>
  <si>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</si>
  <si>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</si>
  <si>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</si>
  <si>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</si>
  <si>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</si>
  <si>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</si>
  <si>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</si>
  <si>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</si>
  <si>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</si>
  <si>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</si>
  <si>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</si>
  <si>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</si>
  <si>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</si>
  <si>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</si>
  <si>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</si>
  <si>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</si>
  <si>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</si>
  <si>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</si>
  <si>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</si>
  <si>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</si>
  <si>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</si>
  <si>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</si>
  <si>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</si>
  <si>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</si>
  <si>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</si>
  <si>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</si>
  <si>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</si>
  <si>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</si>
  <si>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</si>
  <si>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</si>
  <si>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</si>
  <si>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</si>
  <si>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</si>
  <si>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</si>
  <si>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</si>
  <si>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</si>
  <si>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</si>
  <si>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</si>
  <si>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</si>
  <si>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</si>
  <si>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</si>
  <si>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</si>
  <si>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</si>
  <si>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</si>
  <si>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</si>
  <si>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</si>
  <si>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</si>
  <si>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</si>
  <si>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</si>
  <si>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</si>
  <si>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</si>
  <si>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</si>
  <si>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</si>
  <si>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</si>
  <si>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</si>
  <si>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</si>
  <si>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</si>
  <si>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</si>
  <si>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</si>
  <si>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</si>
  <si>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</si>
  <si>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</si>
  <si>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</si>
  <si>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</si>
  <si>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</si>
  <si>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</si>
  <si>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</si>
  <si>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</si>
  <si>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</si>
  <si>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</si>
  <si>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</si>
  <si>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</si>
  <si>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</si>
  <si>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</si>
  <si>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</si>
  <si>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</si>
  <si>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</si>
  <si>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</si>
  <si>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</si>
  <si>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</si>
  <si>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</si>
  <si>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</si>
  <si>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</si>
  <si>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</si>
  <si>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</si>
  <si>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</si>
  <si>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</si>
  <si>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</si>
  <si>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</si>
  <si>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</si>
  <si>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</si>
  <si>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</si>
  <si>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</si>
  <si>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</si>
  <si>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</si>
  <si>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</si>
  <si>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</si>
  <si>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</si>
  <si>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</si>
  <si>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</si>
  <si>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</si>
  <si>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</si>
  <si>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</si>
  <si>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</si>
  <si>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</si>
  <si>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</si>
  <si>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</si>
  <si>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</si>
  <si>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</si>
  <si>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</si>
  <si>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</si>
  <si>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</si>
  <si>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</si>
  <si>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</si>
  <si>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</si>
  <si>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</si>
  <si>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</si>
  <si>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</si>
  <si>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</si>
  <si>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</si>
  <si>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</si>
  <si>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</si>
  <si>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</si>
  <si>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</si>
  <si>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</si>
  <si>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</si>
  <si>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</si>
  <si>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</si>
  <si>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</si>
  <si>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</si>
  <si>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</si>
  <si>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</si>
  <si>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</si>
  <si>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</si>
  <si>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</si>
  <si>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</si>
  <si>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</si>
  <si>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</si>
  <si>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</si>
  <si>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</si>
  <si>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</si>
  <si>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</si>
  <si>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</si>
  <si>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</si>
  <si>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</si>
  <si>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</si>
  <si>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</si>
  <si>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</si>
  <si>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</si>
  <si>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</si>
  <si>
    <t>tau</t>
  </si>
  <si>
    <t>Option 3: fixed PSC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</si>
</sst>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68" formatCode="0.00000"/>
    <numFmt numFmtId="169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8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23" fillId="0" borderId="0" xfId="0" applyFont="1"/>
    <xf numFmtId="168" fontId="0" fillId="0" borderId="0" xfId="0" applyNumberFormat="1"/>
    <xf numFmtId="165" fontId="23" fillId="0" borderId="0" xfId="0" applyNumberFormat="1" applyFont="1"/>
    <xf numFmtId="169" fontId="0" fillId="0" borderId="0" xfId="0" applyNumberFormat="1"/>
    <xf numFmtId="43" fontId="5" fillId="0" borderId="0" xfId="1" applyFont="1"/>
    <xf numFmtId="0" fontId="0" fillId="0" borderId="0" xfId="0" applyAlignment="1">
      <alignment horizontal="center"/>
    </xf>
    <xf numFmtId="10" fontId="0" fillId="0" borderId="0" xfId="0" applyNumberFormat="1"/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2" fillId="10" borderId="7" xfId="475" applyAlignment="1">
      <alignment horizontal="center"/>
    </xf>
    <xf numFmtId="0" fontId="0" fillId="0" borderId="0" xfId="0" applyAlignment="1">
      <alignment horizontal="center"/>
    </xf>
  </cellXfs>
  <cellStyles count="58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25.84400893229233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6.291280140341038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686840"/>
        <c:axId val="2138689816"/>
      </c:barChart>
      <c:catAx>
        <c:axId val="2138686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8689816"/>
        <c:crosses val="autoZero"/>
        <c:auto val="1"/>
        <c:lblAlgn val="ctr"/>
        <c:lblOffset val="100"/>
        <c:noMultiLvlLbl val="0"/>
      </c:catAx>
      <c:valAx>
        <c:axId val="2138689816"/>
        <c:scaling>
          <c:orientation val="minMax"/>
        </c:scaling>
        <c:delete val="0"/>
        <c:axPos val="l"/>
        <c:majorGridlines/>
        <c:title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386868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25.84400893229233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9.638231415531393</c:v>
                </c:pt>
                <c:pt idx="1">
                  <c:v>6.291280140341038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769016"/>
        <c:axId val="2138771992"/>
      </c:barChart>
      <c:catAx>
        <c:axId val="2138769016"/>
        <c:scaling>
          <c:orientation val="minMax"/>
        </c:scaling>
        <c:delete val="0"/>
        <c:axPos val="l"/>
        <c:majorTickMark val="out"/>
        <c:minorTickMark val="none"/>
        <c:tickLblPos val="nextTo"/>
        <c:crossAx val="2138771992"/>
        <c:crosses val="autoZero"/>
        <c:auto val="1"/>
        <c:lblAlgn val="ctr"/>
        <c:lblOffset val="100"/>
        <c:noMultiLvlLbl val="0"/>
      </c:catAx>
      <c:valAx>
        <c:axId val="2138771992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38769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25.84400893229233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9.638231415531393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9.638231415531393</c:v>
                </c:pt>
                <c:pt idx="1">
                  <c:v>6.291280140341038</c:v>
                </c:pt>
                <c:pt idx="2">
                  <c:v>6.944230824932703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8803624"/>
        <c:axId val="2138806600"/>
      </c:barChart>
      <c:catAx>
        <c:axId val="2138803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8806600"/>
        <c:crosses val="autoZero"/>
        <c:auto val="1"/>
        <c:lblAlgn val="ctr"/>
        <c:lblOffset val="100"/>
        <c:noMultiLvlLbl val="0"/>
      </c:catAx>
      <c:valAx>
        <c:axId val="2138806600"/>
        <c:scaling>
          <c:orientation val="minMax"/>
        </c:scaling>
        <c:delete val="0"/>
        <c:axPos val="l"/>
        <c:majorGridlines/>
        <c:title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388036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175320"/>
        <c:axId val="2138172184"/>
      </c:lineChart>
      <c:catAx>
        <c:axId val="2138175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172184"/>
        <c:crosses val="autoZero"/>
        <c:auto val="1"/>
        <c:lblAlgn val="ctr"/>
        <c:lblOffset val="100"/>
        <c:noMultiLvlLbl val="0"/>
      </c:catAx>
      <c:valAx>
        <c:axId val="21381721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8175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84728"/>
        <c:axId val="2107587864"/>
      </c:scatterChart>
      <c:valAx>
        <c:axId val="210758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587864"/>
        <c:crosses val="autoZero"/>
        <c:crossBetween val="midCat"/>
      </c:valAx>
      <c:valAx>
        <c:axId val="2107587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584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590312"/>
        <c:axId val="-2111696984"/>
      </c:scatterChart>
      <c:valAx>
        <c:axId val="2106590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696984"/>
        <c:crosses val="autoZero"/>
        <c:crossBetween val="midCat"/>
      </c:valAx>
      <c:valAx>
        <c:axId val="-21116969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06590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1645912"/>
        <c:axId val="-2111642696"/>
      </c:scatterChart>
      <c:valAx>
        <c:axId val="-211164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1642696"/>
        <c:crosses val="autoZero"/>
        <c:crossBetween val="midCat"/>
      </c:valAx>
      <c:valAx>
        <c:axId val="-21116426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11645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26" t="s">
        <v>135</v>
      </c>
      <c r="E3" s="126"/>
      <c r="F3" s="126"/>
      <c r="I3" s="127" t="s">
        <v>136</v>
      </c>
      <c r="J3" s="127"/>
      <c r="K3" s="127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25.844008932292326</v>
      </c>
      <c r="D5" s="115">
        <f ca="1">'Excluders (1)'!ye_1/1000</f>
        <v>22.18513399199464</v>
      </c>
      <c r="E5" s="115">
        <f ca="1">'No Size Limit (1)'!ye_1/1000</f>
        <v>24.487654004566451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9.6382314155313935</v>
      </c>
      <c r="D6" s="115">
        <f ca="1">'Excluders (1)'!ye_2/1000</f>
        <v>8.2737928148068267</v>
      </c>
      <c r="E6" s="115">
        <f ca="1">'No Size Limit (1)'!ye_2/1000</f>
        <v>9.1325017837424998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9.6382314155313935</v>
      </c>
      <c r="D7" s="116">
        <f ca="1">'Excluders (1)'!ye_3/1000</f>
        <v>6.2912801403410388</v>
      </c>
      <c r="E7" s="116">
        <f ca="1">'No Size Limit (1)'!ye_3/1000</f>
        <v>6.9442308249327027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45.120471763355113</v>
      </c>
      <c r="D8" s="74">
        <f ca="1">SUM(D5:D7)</f>
        <v>36.750206947142502</v>
      </c>
      <c r="E8" s="74">
        <f ca="1">SUM(E5:E7)</f>
        <v>40.564386613241652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12.747432046033497</v>
      </c>
      <c r="D11" s="75">
        <f ca="1">'Excluders (1)'!E27/10</f>
        <v>13.771284947495314</v>
      </c>
      <c r="E11" s="75">
        <f ca="1">'No Size Limit (1)'!$E27/10</f>
        <v>21.42870178070838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39.461917558212193</v>
      </c>
      <c r="D12" s="75">
        <f ca="1">'Excluders (1)'!E28</f>
        <v>201.23438232103834</v>
      </c>
      <c r="E12" s="75">
        <f ca="1">'No Size Limit (1)'!$E28</f>
        <v>35.981514314308605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30.775675626433021</v>
      </c>
      <c r="D13" s="76">
        <f ca="1">'Excluders (1)'!E29</f>
        <v>16.029056510573863</v>
      </c>
      <c r="E13" s="76">
        <f ca="1">'No Size Limit (1)'!$E29</f>
        <v>18.007402016540116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82.985025230678701</v>
      </c>
      <c r="D14" s="77">
        <f ca="1">SUM(D11:D13)</f>
        <v>231.03472377910751</v>
      </c>
      <c r="E14" s="77">
        <f ca="1">SUM(E11:E13)</f>
        <v>75.417618111557104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2.0273894254909148</v>
      </c>
      <c r="D17" s="75">
        <f t="shared" ref="D17:F17" ca="1" si="0">D5/D11</f>
        <v>1.6109705141225485</v>
      </c>
      <c r="E17" s="75">
        <f t="shared" ca="1" si="0"/>
        <v>1.1427502354161256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0.24424133473274759</v>
      </c>
      <c r="D18" s="75">
        <f t="shared" ca="1" si="2"/>
        <v>4.1115204665211083E-2</v>
      </c>
      <c r="E18" s="75">
        <f t="shared" ca="1" si="2"/>
        <v>0.25381093480300854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0.31317692363683419</v>
      </c>
      <c r="D19" s="75">
        <f t="shared" ca="1" si="2"/>
        <v>0.39249223035622088</v>
      </c>
      <c r="E19" s="75">
        <f t="shared" ca="1" si="2"/>
        <v>0.38563202057433404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0.8616025612868321</v>
      </c>
      <c r="D20" s="105">
        <f t="shared" ref="D20:F20" ca="1" si="5">AVERAGE(D17:D19)</f>
        <v>0.6815259830479935</v>
      </c>
      <c r="E20" s="105">
        <f t="shared" ca="1" si="5"/>
        <v>0.59406439693115598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0.60367653566062185</v>
      </c>
      <c r="D23" s="78">
        <f ca="1">'Excluders (1)'!C4</f>
        <v>0.60367371601208453</v>
      </c>
      <c r="E23" s="78">
        <f ca="1">'No Size Limit (1)'!$C4</f>
        <v>0.60367371601208453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0.22513434994031636</v>
      </c>
      <c r="D24" s="78">
        <f ca="1">'Excluders (1)'!C5</f>
        <v>0.22513595166163142</v>
      </c>
      <c r="E24" s="78">
        <f ca="1">'No Size Limit (1)'!$C5</f>
        <v>0.22513595166163142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0.17118911439906179</v>
      </c>
      <c r="D25" s="79">
        <f ca="1">'Excluders (1)'!C6</f>
        <v>0.17119033232628403</v>
      </c>
      <c r="E25" s="79">
        <f ca="1">'No Size Limit (1)'!$C6</f>
        <v>0.17119033232628397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1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0.3328164721473526</v>
      </c>
      <c r="D29" s="78">
        <f ca="1">'Excluders (1)'!C11</f>
        <v>0.20363299727562001</v>
      </c>
      <c r="E29" s="78">
        <f ca="1">'No Size Limit (1)'!$C11</f>
        <v>0.28363576736936597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0.5289975977792859</v>
      </c>
      <c r="D30" s="78">
        <f ca="1">'Excluders (1)'!C12</f>
        <v>0.68157873728163154</v>
      </c>
      <c r="E30" s="78">
        <f ca="1">'No Size Limit (1)'!$C12</f>
        <v>0.55044115511719194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0.13818593007336147</v>
      </c>
      <c r="D31" s="79">
        <f ca="1">'Excluders (1)'!C13</f>
        <v>0.11478826544274839</v>
      </c>
      <c r="E31" s="78">
        <f ca="1">'No Size Limit (1)'!$C13</f>
        <v>0.16592307751344212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1</v>
      </c>
      <c r="D32" s="80">
        <f ca="1">SUM(D29:D31)</f>
        <v>1</v>
      </c>
      <c r="E32" s="88">
        <f ca="1">SUM(E29:E31)</f>
        <v>1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27.965760347362774</v>
      </c>
      <c r="D35" s="82">
        <f ca="1">'Excluders (1)'!avg_wt1</f>
        <v>59.725623146655145</v>
      </c>
      <c r="E35" s="82">
        <f ca="1">'No Size Limit (1)'!avg_wt1</f>
        <v>55.872162930839487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6.5616824891453129</v>
      </c>
      <c r="D36" s="82">
        <f ca="1">'Excluders (1)'!avg_wt2</f>
        <v>6.6548059330886309</v>
      </c>
      <c r="E36" s="82">
        <f ca="1">'No Size Limit (1)'!avg_wt2</f>
        <v>10.737128924240285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19.100268315238381</v>
      </c>
      <c r="D37" s="83">
        <f ca="1">'Excluders (1)'!avg_wt3</f>
        <v>30.046114502324624</v>
      </c>
      <c r="E37" s="82">
        <f ca="1">'No Size Limit (1)'!avg_wt3</f>
        <v>27.084863651871274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17.875903717248821</v>
      </c>
      <c r="D38" s="84">
        <f ca="1">AVERAGE(D35:D37)</f>
        <v>32.142181194022804</v>
      </c>
      <c r="E38" s="89">
        <f ca="1">AVERAGE(E35:E37)</f>
        <v>31.231385168983682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0.99999999999999989</v>
      </c>
      <c r="E48" s="49">
        <f ca="1">'Status Quo'!H47</f>
        <v>0.91177356476596549</v>
      </c>
      <c r="F48" s="49">
        <f ca="1">'Status Quo'!I47</f>
        <v>0.91573888060516839</v>
      </c>
    </row>
    <row r="49" spans="3:6">
      <c r="C49" s="54" t="s">
        <v>106</v>
      </c>
      <c r="D49" s="49">
        <f ca="1">'Status Quo'!G48</f>
        <v>1.0967635371800681</v>
      </c>
      <c r="E49" s="49">
        <f ca="1">'Status Quo'!H48</f>
        <v>0.99999999999999989</v>
      </c>
      <c r="F49" s="49">
        <f ca="1">'Status Quo'!I48</f>
        <v>2.135348609404482</v>
      </c>
    </row>
    <row r="50" spans="3:6">
      <c r="C50" s="55" t="s">
        <v>107</v>
      </c>
      <c r="D50" s="52">
        <f ca="1">'Status Quo'!G49</f>
        <v>1.0920143516666538</v>
      </c>
      <c r="E50" s="52">
        <f ca="1">'Status Quo'!H49</f>
        <v>0.46830760822650203</v>
      </c>
      <c r="F50" s="52">
        <f ca="1">'Status Quo'!I49</f>
        <v>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19" sqref="B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0.60367653566062185</v>
      </c>
      <c r="E4" s="46">
        <v>24977</v>
      </c>
      <c r="F4" s="46">
        <f ca="1">ye_1</f>
        <v>25844.00893229233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0.22513434994031636</v>
      </c>
      <c r="E5" s="46">
        <v>9315</v>
      </c>
      <c r="F5" s="46">
        <f ca="1">ye_2</f>
        <v>9638.2314155313943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0.17118911439906179</v>
      </c>
      <c r="E6" s="46">
        <v>7083</v>
      </c>
      <c r="F6" s="46">
        <f ca="1">ye_3</f>
        <v>7328.7807961576873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0.31607686746223457</v>
      </c>
      <c r="S7" s="1">
        <f t="shared" ca="1" si="4"/>
        <v>0.26688450833641431</v>
      </c>
      <c r="T7" s="1">
        <f t="shared" ca="1" si="4"/>
        <v>0.22395385373746995</v>
      </c>
      <c r="U7" s="1">
        <f t="shared" ca="1" si="4"/>
        <v>0.1856880852915066</v>
      </c>
      <c r="V7" s="1">
        <f t="shared" ca="1" si="4"/>
        <v>0.15258336881165868</v>
      </c>
      <c r="W7" s="1">
        <f t="shared" ca="1" si="4"/>
        <v>0.12377254377097818</v>
      </c>
      <c r="X7" s="1">
        <f t="shared" ca="1" si="4"/>
        <v>9.8710391384072407E-2</v>
      </c>
      <c r="Y7" s="1">
        <f t="shared" ca="1" si="4"/>
        <v>7.7601973334880628E-2</v>
      </c>
      <c r="Z7" s="1">
        <f t="shared" ca="1" si="4"/>
        <v>6.0531623551544095E-2</v>
      </c>
      <c r="AA7" s="1">
        <f t="shared" ca="1" si="4"/>
        <v>4.6990376853633116E-2</v>
      </c>
      <c r="AB7" s="1">
        <f t="shared" ca="1" si="4"/>
        <v>3.6404215222345347E-2</v>
      </c>
      <c r="AC7" s="1">
        <f t="shared" ca="1" si="4"/>
        <v>2.8179810905283785E-2</v>
      </c>
      <c r="AD7" s="1">
        <f t="shared" ca="1" si="4"/>
        <v>2.1806396101219167E-2</v>
      </c>
      <c r="AE7" s="1">
        <f t="shared" ca="1" si="4"/>
        <v>1.6872321652001938E-2</v>
      </c>
      <c r="AF7" s="1">
        <f t="shared" ca="1" si="4"/>
        <v>1.3054029127802614E-2</v>
      </c>
      <c r="AG7" s="1">
        <f t="shared" ca="1" si="4"/>
        <v>1.0099648181475336E-2</v>
      </c>
      <c r="AH7" s="1">
        <f t="shared" ca="1" si="4"/>
        <v>7.8138484480065051E-3</v>
      </c>
      <c r="AI7" s="1">
        <f ca="1">AH7*EXP(-AH8)/(1-EXP(-AI8))</f>
        <v>2.6710817648806801E-2</v>
      </c>
    </row>
    <row r="8" spans="1:35">
      <c r="A8" s="5"/>
      <c r="B8" s="25"/>
      <c r="C8" s="25"/>
      <c r="E8" t="s">
        <v>110</v>
      </c>
      <c r="F8">
        <f ca="1">SUMXMY2(E4:E6,F4:F6)</f>
        <v>916591.23642102233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0.16428675439839693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0.17065937382475296</v>
      </c>
      <c r="Q8" s="1">
        <f t="shared" ca="1" si="5"/>
        <v>0.16936914568111047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0.20926557065997195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0.25640247030216334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0.25659624181891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0.84310870946084793</v>
      </c>
      <c r="Q10" s="1">
        <f t="shared" ca="1" si="6"/>
        <v>0.84419721410460558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0.77383046233040598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0.3328164721473526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0.15689129053915207</v>
      </c>
      <c r="Q11" s="1">
        <f t="shared" ca="1" si="7"/>
        <v>0.15580278589539442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0.22616953766959402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0.13818593007336147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23275.156653616632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L22:AI22" ca="1" si="18">wa*flt1_*(1-EXP(-za))/za</f>
        <v>2.2902466766917896E-6</v>
      </c>
      <c r="M22" s="1">
        <f t="shared" ca="1" si="18"/>
        <v>1.4831080980505844E-5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1.2420837554238387E-3</v>
      </c>
      <c r="Q22" s="1">
        <f t="shared" ca="1" si="18"/>
        <v>4.5631442569859723E-3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32.392394309286068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38.801387040155781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0.39852696211040595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2.8241972159326743</v>
      </c>
      <c r="Q23" s="1">
        <f t="shared" ca="1" si="19"/>
        <v>3.6457692310249872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6.8461730037045294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7.5619332609218457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10.592062969069305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12.658776710818239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2.318636584815328E-4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4.2502104678829596E-2</v>
      </c>
      <c r="Q24" s="1">
        <f t="shared" ca="1" si="20"/>
        <v>0.14690672915962291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12.361276528618882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12.893175507729344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18.05957843543348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1.6996590526692891E-5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2.8603789900236452E-4</v>
      </c>
      <c r="Q26">
        <f t="shared" ca="1" si="21"/>
        <v>7.4756246368511972E-4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0.87997761177121647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0.88191018406999355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8.4852021431421454E-2</v>
      </c>
      <c r="C27" s="35">
        <f ca="1">CHOOSE(C$25,E36,E39,1)</f>
        <v>1.8733132708564477</v>
      </c>
      <c r="E27" s="41">
        <f ca="1">f1_/(F4/(f1_*365*re*phib))</f>
        <v>127.47432046033497</v>
      </c>
      <c r="F27" s="106">
        <f ca="1">F4/E27</f>
        <v>202.73894254909152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0.45671651295955606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0.65038080925392416</v>
      </c>
      <c r="Q27">
        <f t="shared" ca="1" si="22"/>
        <v>0.59727242332957486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0.38102280633439822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0.28884723423623498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0.28774588831736714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0.28771920157351777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2.8830930968350744E-2</v>
      </c>
      <c r="C28" s="35">
        <f ca="1">CHOOSE(C$25,E37,E40,1)</f>
        <v>0.63651992260115786</v>
      </c>
      <c r="E28" s="41">
        <f ca="1">f2_/(F5/(f2_*365*re*phib))</f>
        <v>39.461917558212193</v>
      </c>
      <c r="F28" s="106">
        <f t="shared" ref="F28:F29" ca="1" si="23">F5/E28</f>
        <v>244.24133473274762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9.7877559966659047E-3</v>
      </c>
      <c r="Q28">
        <f t="shared" ca="1" si="24"/>
        <v>2.4067167329710815E-2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0.49248756335572158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0.49060975701483972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0.49056425583672719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2.2201921511977203E-2</v>
      </c>
      <c r="C29" s="35">
        <f ca="1">CHOOSE(C$25,E38,E41,1)</f>
        <v>0.49016680654239447</v>
      </c>
      <c r="E29" s="41">
        <f ca="1">f3_/(F6/(f3_*365*re*phib))</f>
        <v>30.775675626433021</v>
      </c>
      <c r="F29" s="106">
        <f t="shared" ca="1" si="23"/>
        <v>238.13549652385362</v>
      </c>
    </row>
    <row r="30" spans="1:39">
      <c r="A30" t="s">
        <v>94</v>
      </c>
      <c r="B30" s="27">
        <v>4.52946246372498E-2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0.13588487391174939</v>
      </c>
      <c r="G31">
        <f ca="1">SUMPRODUCT(dlz1_,wa,ma)</f>
        <v>-74.84239370156979</v>
      </c>
      <c r="H31">
        <f ca="1">Ro/(reck-1)*phie/phif^2*dphif</f>
        <v>-18201.967658085781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-1.9023103257798655E-4</v>
      </c>
      <c r="R31">
        <f t="shared" ca="1" si="25"/>
        <v>-4.1745416310920029E-4</v>
      </c>
      <c r="S31">
        <f t="shared" ca="1" si="25"/>
        <v>-1.0373775928707992E-3</v>
      </c>
      <c r="T31">
        <f t="shared" ca="1" si="25"/>
        <v>-4.1411649209052914E-3</v>
      </c>
      <c r="U31">
        <f t="shared" ca="1" si="25"/>
        <v>-1.5759386634706524E-2</v>
      </c>
      <c r="V31">
        <f t="shared" ca="1" si="25"/>
        <v>-3.9439965044401865E-2</v>
      </c>
      <c r="W31">
        <f t="shared" ca="1" si="25"/>
        <v>-7.5991028476898953E-2</v>
      </c>
      <c r="X31">
        <f t="shared" ca="1" si="25"/>
        <v>-0.11854540399012867</v>
      </c>
      <c r="Y31">
        <f t="shared" ca="1" si="25"/>
        <v>-0.15411197164090754</v>
      </c>
      <c r="Z31">
        <f t="shared" ca="1" si="25"/>
        <v>-0.17490869632095624</v>
      </c>
      <c r="AA31">
        <f t="shared" ca="1" si="25"/>
        <v>-0.18089793205488996</v>
      </c>
      <c r="AB31">
        <f t="shared" ca="1" si="25"/>
        <v>-0.17597081078408616</v>
      </c>
      <c r="AC31">
        <f t="shared" ca="1" si="25"/>
        <v>-0.16422054957378651</v>
      </c>
      <c r="AD31">
        <f t="shared" ca="1" si="25"/>
        <v>-0.14883308871818421</v>
      </c>
      <c r="AE31">
        <f t="shared" ca="1" si="25"/>
        <v>-0.13201410575562264</v>
      </c>
      <c r="AF31">
        <f t="shared" ca="1" si="25"/>
        <v>-0.1151883918281158</v>
      </c>
      <c r="AG31">
        <f t="shared" ca="1" si="25"/>
        <v>-9.9217565129233687E-2</v>
      </c>
      <c r="AH31">
        <f t="shared" ca="1" si="25"/>
        <v>-8.4575799879880773E-2</v>
      </c>
      <c r="AI31">
        <f ca="1">(AH31*sa-AH$7*AH18*AH$10)/oa-AH$7*AH$10*flt1_*sa/oa^2</f>
        <v>-0.40713214359874084</v>
      </c>
    </row>
    <row r="32" spans="1:39">
      <c r="A32" s="11" t="s">
        <v>22</v>
      </c>
      <c r="B32" s="11"/>
      <c r="C32" s="11"/>
      <c r="G32">
        <f ca="1">SUMPRODUCT(dlz2_,wa,ma)</f>
        <v>-137.20916781637325</v>
      </c>
      <c r="H32">
        <f ca="1">Ro/(reck-1)*phie/phif^2*dphif</f>
        <v>-33369.81504019034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-0.18305138961893561</v>
      </c>
      <c r="AE32">
        <f t="shared" ca="1" si="25"/>
        <v>-0.14713676467845371</v>
      </c>
      <c r="AF32">
        <f t="shared" ca="1" si="25"/>
        <v>-0.11809731805127416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38.344083704234279</v>
      </c>
      <c r="C33" s="58"/>
      <c r="D33" s="60"/>
      <c r="E33" s="60"/>
      <c r="G33">
        <f ca="1">SUMPRODUCT(dlz3_,wa,ma)</f>
        <v>-91.972434258926683</v>
      </c>
      <c r="H33">
        <f ca="1">Ro/(reck-1)*phie/phif^2*dphif</f>
        <v>-22368.061616143783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-5.8216655164870902E-3</v>
      </c>
      <c r="R33">
        <f t="shared" ca="1" si="25"/>
        <v>-1.3184086519365097E-2</v>
      </c>
      <c r="S33">
        <f t="shared" ca="1" si="25"/>
        <v>-3.247376731791482E-2</v>
      </c>
      <c r="T33">
        <f t="shared" ca="1" si="25"/>
        <v>-0.11174591803265005</v>
      </c>
      <c r="U33">
        <f t="shared" ca="1" si="25"/>
        <v>-0.23716264748159879</v>
      </c>
      <c r="V33">
        <f t="shared" ca="1" si="25"/>
        <v>-0.32104186641013044</v>
      </c>
      <c r="W33">
        <f t="shared" ca="1" si="25"/>
        <v>-0.35479399035832909</v>
      </c>
      <c r="X33">
        <f t="shared" ca="1" si="25"/>
        <v>-0.3508777210257964</v>
      </c>
      <c r="Y33">
        <f t="shared" ca="1" si="25"/>
        <v>-0.32386926750544431</v>
      </c>
      <c r="Z33">
        <f t="shared" ca="1" si="25"/>
        <v>-0.28629389656638266</v>
      </c>
      <c r="AA33">
        <f t="shared" ca="1" si="25"/>
        <v>-0.24838407042009053</v>
      </c>
      <c r="AB33">
        <f t="shared" ca="1" si="25"/>
        <v>-0.21267492263584992</v>
      </c>
      <c r="AC33">
        <f t="shared" ca="1" si="25"/>
        <v>-0.1803009830562666</v>
      </c>
      <c r="AD33">
        <f t="shared" ca="1" si="25"/>
        <v>-0.15165092323280069</v>
      </c>
      <c r="AE33">
        <f t="shared" ca="1" si="25"/>
        <v>-0.12672151806900711</v>
      </c>
      <c r="AF33">
        <f t="shared" ca="1" si="25"/>
        <v>-0.1053043304515487</v>
      </c>
      <c r="AG33">
        <f t="shared" ca="1" si="25"/>
        <v>-8.7089247798048428E-2</v>
      </c>
      <c r="AH33">
        <f t="shared" ca="1" si="25"/>
        <v>-7.1724796248663278E-2</v>
      </c>
      <c r="AI33">
        <f ca="1">(AH33*sa-AH$7*AH20*AH$10)/oa-AH$7*AH$10*flt3_*sa/oa^2</f>
        <v>-0.31082467502649103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388.77531406673825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1.750914681614403E-10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3.0309002412513464E-7</v>
      </c>
      <c r="Q35">
        <f t="shared" ca="1" si="27"/>
        <v>3.0336439575356541E-6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1.8978003962946461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29.316313472708085</v>
      </c>
      <c r="AC35">
        <f t="shared" ca="1" si="27"/>
        <v>31.879018569033775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38.554752351718335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2.4178082423605662</v>
      </c>
      <c r="E36" s="37">
        <f ca="1">C36/AVERAGE(C$36:C$38)</f>
        <v>1.8733132179304632</v>
      </c>
      <c r="G36" s="1">
        <f ca="1">SUM(dqa21_)</f>
        <v>388.77531406673825</v>
      </c>
      <c r="H36" s="1">
        <f ca="1">SUM(dqa22_)</f>
        <v>62.897748080945448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L36:AI36" ca="1" si="28">flt2_*qa2_+lz*wa*flt2_^2/za*(sa-oa/za)</f>
        <v>9.65434451159343E-4</v>
      </c>
      <c r="M36">
        <f t="shared" ca="1" si="28"/>
        <v>0.12642553181880659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1.5669672496370228</v>
      </c>
      <c r="Q36">
        <f t="shared" ca="1" si="28"/>
        <v>1.9364868944874747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2.6115852274658899</v>
      </c>
      <c r="U36">
        <f t="shared" ca="1" si="28"/>
        <v>2.681325561458312</v>
      </c>
      <c r="V36">
        <f t="shared" ca="1" si="28"/>
        <v>2.6781279273321537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2.3750234471140428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3.4086306889867926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4.1036177085073398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2.4625425317358887</v>
      </c>
      <c r="C37" s="28">
        <f ca="1">B12/(phi_t2/SUM(B$36:B$38))</f>
        <v>0.82153012880450893</v>
      </c>
      <c r="E37" s="37">
        <f ca="1">C37/AVERAGE(C$36:C$38)</f>
        <v>0.6365199779925701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</v>
      </c>
      <c r="J37" s="8" t="s">
        <v>64</v>
      </c>
      <c r="K37">
        <f ca="1">dlz3_*qa3_+lz*wa*flt3_^2/za*(sa-oa/za)</f>
        <v>-1.8485451557887479E-11</v>
      </c>
      <c r="L37">
        <f t="shared" ref="L37:AI37" ca="1" si="29">flt3_*qa3_+lz*wa*flt3_^2/za*(sa-oa/za)</f>
        <v>1.203306552598969E-9</v>
      </c>
      <c r="M37">
        <f t="shared" ca="1" si="29"/>
        <v>4.2794183062128167E-8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3.5488753998326092E-4</v>
      </c>
      <c r="Q37">
        <f t="shared" ca="1" si="29"/>
        <v>3.144268249732116E-3</v>
      </c>
      <c r="R37">
        <f t="shared" ca="1" si="29"/>
        <v>4.044010702391964E-2</v>
      </c>
      <c r="S37">
        <f t="shared" ca="1" si="29"/>
        <v>1.1770428499227683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8.7309645114259951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6.9043374646074041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9.9090965175856649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11.929466009988886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0.83533748315996559</v>
      </c>
      <c r="C38" s="28">
        <f ca="1">B13/(phi_t3/SUM(B$36:B$38))</f>
        <v>0.63263811288220928</v>
      </c>
      <c r="E38" s="37">
        <f ca="1">C38/AVERAGE(C$36:C$38)</f>
        <v>0.49016680407696672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L38:AI38" ca="1" si="30">flt1_*qa1_+lz*wa*flt2_*flt1_/za*(sa-oa/za)</f>
        <v>-6.9352204606765908E-8</v>
      </c>
      <c r="M38">
        <f t="shared" ca="1" si="30"/>
        <v>-2.640066296498559E-6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-1.8917912117726588E-4</v>
      </c>
      <c r="Q38">
        <f t="shared" ca="1" si="30"/>
        <v>-5.3528689512178772E-4</v>
      </c>
      <c r="R38">
        <f t="shared" ca="1" si="30"/>
        <v>-1.7052423043792805E-3</v>
      </c>
      <c r="S38">
        <f t="shared" ca="1" si="30"/>
        <v>-7.7979760793800389E-3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1.8694517968264091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32.17236772980889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38.718078462190441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14.721699815143705</v>
      </c>
      <c r="C39" s="22">
        <f ca="1">B4/(phi_q1/SUM(B$39:B$41))</f>
        <v>1.9205142863537024</v>
      </c>
      <c r="D39" s="20"/>
      <c r="E39" s="38">
        <f ca="1">C39/AVERAGE(C$39:C$41)</f>
        <v>1.8733132708564477</v>
      </c>
      <c r="G39" s="1">
        <f ca="1">re*phi_q1+f1_*phi_q1*$H31+f1_*re*G35</f>
        <v>958191.25794834597</v>
      </c>
      <c r="H39" s="1">
        <f ca="1">0*re*phi_q1+f1_*phi_q1*$H32+f1_*re*H35</f>
        <v>640812.33994225308</v>
      </c>
      <c r="I39" s="1">
        <f ca="1">0*re*phi_q1+f1_*phi_q1*$H33+f1_*re*I35</f>
        <v>651456.46604463726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-1.2628030124284006E-9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-2.4663624229468063E-6</v>
      </c>
      <c r="Q39">
        <f t="shared" ca="1" si="31"/>
        <v>-1.801061267977156E-5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-1.3948240548413822E-2</v>
      </c>
      <c r="U39">
        <f t="shared" ca="1" si="31"/>
        <v>0.23991072450245923</v>
      </c>
      <c r="V39">
        <f t="shared" ca="1" si="31"/>
        <v>1.7250958837337393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32.071883505007591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38.662322157033941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16.158422209266945</v>
      </c>
      <c r="C40" s="22">
        <f ca="1">B5/(phi_q2/SUM(B$39:B$41))</f>
        <v>0.65255802322128142</v>
      </c>
      <c r="D40" s="20"/>
      <c r="E40" s="38">
        <f ca="1">C40/AVERAGE(C$39:C$41)</f>
        <v>0.63651992260115786</v>
      </c>
      <c r="G40" s="1">
        <f ca="1">0*re*phi_q1+f1_*phi_q1*$H32+f1_*re*G36</f>
        <v>640812.33994225308</v>
      </c>
      <c r="H40" s="1">
        <f ca="1">re*phi_q2+f2_*phi_q2*$H32+f2_*re*H36</f>
        <v>356273.50072357676</v>
      </c>
      <c r="I40" s="1">
        <f ca="1">0*re*phi_q3+f3_*phi_q3*$H33+f3_*re*I36</f>
        <v>170354.62345638004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-2.6400662964985598E-6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-1.8917912117726588E-4</v>
      </c>
      <c r="Q40">
        <f t="shared" ca="1" si="32"/>
        <v>-5.3528689512178772E-4</v>
      </c>
      <c r="R40">
        <f t="shared" ca="1" si="32"/>
        <v>-1.7052423043792805E-3</v>
      </c>
      <c r="S40">
        <f t="shared" ca="1" si="32"/>
        <v>-7.7979760793800389E-3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1.8694517968264091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32.17236772980889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38.718078462190441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0.50251731480590001</v>
      </c>
      <c r="D41" s="20"/>
      <c r="E41" s="38">
        <f ca="1">C41/AVERAGE(C$39:C$41)</f>
        <v>0.49016680654239436</v>
      </c>
      <c r="G41" s="1">
        <f ca="1">0*re*phi_q1+f1_*phi_q1*$H33+f1_*re*G37</f>
        <v>651456.46604463726</v>
      </c>
      <c r="H41" s="1">
        <f ca="1">0*re*phi_q3+f3_*phi_q3*$H33+f3_*re*H37</f>
        <v>170354.62345638004</v>
      </c>
      <c r="I41" s="1">
        <f ca="1">re*phi_q3+f1_*phi_q3*$H33+f3_*re*I37</f>
        <v>371417.10594348749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-4.1277824389654399E-5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-6.4862423075560047E-3</v>
      </c>
      <c r="Q41">
        <f t="shared" ca="1" si="33"/>
        <v>-1.7348803851248967E-2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-0.44176693001975059</v>
      </c>
      <c r="U41">
        <f t="shared" ca="1" si="33"/>
        <v>-5.6097880492297358E-2</v>
      </c>
      <c r="V41">
        <f t="shared" ca="1" si="33"/>
        <v>1.6642911413373276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38.753172623770467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-1.2628030124284006E-9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-2.4663624229468063E-6</v>
      </c>
      <c r="Q42">
        <f t="shared" ca="1" si="34"/>
        <v>-1.801061267977156E-5</v>
      </c>
      <c r="R42">
        <f t="shared" ca="1" si="34"/>
        <v>-1.8628399711169123E-4</v>
      </c>
      <c r="S42">
        <f t="shared" ca="1" si="34"/>
        <v>-4.7544772310155331E-3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1.7250958837337393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32.071883505007591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38.662322157033941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-4.1277824389654399E-5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-6.4862423075560047E-3</v>
      </c>
      <c r="Q43">
        <f t="shared" ca="1" si="35"/>
        <v>-1.7348803851248967E-2</v>
      </c>
      <c r="R43">
        <f t="shared" ca="1" si="35"/>
        <v>-5.4620164054280877E-2</v>
      </c>
      <c r="S43">
        <f t="shared" ca="1" si="35"/>
        <v>-0.25177219981753851</v>
      </c>
      <c r="T43">
        <f t="shared" ca="1" si="35"/>
        <v>-0.44176693001975059</v>
      </c>
      <c r="U43">
        <f t="shared" ca="1" si="35"/>
        <v>-5.6097880492297358E-2</v>
      </c>
      <c r="V43">
        <f t="shared" ca="1" si="35"/>
        <v>1.6642911413373276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38.753172623770467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1.0962478811079528E-5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5.5158964448134991E-4</v>
      </c>
      <c r="Q46">
        <f t="shared" ca="1" si="36"/>
        <v>1.7084921845616212E-3</v>
      </c>
      <c r="R46">
        <f t="shared" ca="1" si="36"/>
        <v>6.0605913690544733E-3</v>
      </c>
      <c r="S46">
        <f t="shared" ca="1" si="36"/>
        <v>3.7024726663622713E-2</v>
      </c>
      <c r="T46">
        <f t="shared" ca="1" si="36"/>
        <v>0.1730981864599756</v>
      </c>
      <c r="U46">
        <f t="shared" ca="1" si="36"/>
        <v>0.44837588165037517</v>
      </c>
      <c r="V46">
        <f t="shared" ca="1" si="36"/>
        <v>0.87935588862392122</v>
      </c>
      <c r="W46">
        <f t="shared" ca="1" si="36"/>
        <v>1.3447099256166928</v>
      </c>
      <c r="X46">
        <f t="shared" ca="1" si="36"/>
        <v>1.6134801576069786</v>
      </c>
      <c r="Y46">
        <f t="shared" ca="1" si="36"/>
        <v>1.6255162208122851</v>
      </c>
      <c r="Z46">
        <f t="shared" ca="1" si="36"/>
        <v>1.4844764918188376</v>
      </c>
      <c r="AA46">
        <f t="shared" ca="1" si="36"/>
        <v>1.2899580006391818</v>
      </c>
      <c r="AB46">
        <f t="shared" ca="1" si="36"/>
        <v>1.0929492596547061</v>
      </c>
      <c r="AC46">
        <f t="shared" ca="1" si="36"/>
        <v>0.91281154640507201</v>
      </c>
      <c r="AD46">
        <f t="shared" ca="1" si="36"/>
        <v>0.75515679671983982</v>
      </c>
      <c r="AE46">
        <f t="shared" ca="1" si="36"/>
        <v>0.62027991197419663</v>
      </c>
      <c r="AF46">
        <f t="shared" ca="1" si="36"/>
        <v>0.50651443662133644</v>
      </c>
      <c r="AG46">
        <f t="shared" ca="1" si="36"/>
        <v>0.41153511427477379</v>
      </c>
      <c r="AH46">
        <f t="shared" ca="1" si="36"/>
        <v>0.33288494298156573</v>
      </c>
      <c r="AI46">
        <f t="shared" ca="1" si="36"/>
        <v>1.1850233107297639</v>
      </c>
    </row>
    <row r="47" spans="1:35" ht="19" thickTop="1">
      <c r="A47" s="1" t="s">
        <v>41</v>
      </c>
      <c r="B47" s="10">
        <f ca="1">MAX(0,Ro*(reck-1/spr)/(reck-1))</f>
        <v>20689.011048953693</v>
      </c>
      <c r="F47" t="s">
        <v>83</v>
      </c>
      <c r="G47" s="30">
        <f ca="1">G39/G53</f>
        <v>0.99999999999999989</v>
      </c>
      <c r="H47" s="30">
        <f ca="1">H53/H39</f>
        <v>0.91177356476596549</v>
      </c>
      <c r="I47" s="30">
        <f ca="1">I53/I39</f>
        <v>0.91573888060516839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0.29457349626245588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1.2541810739244001</v>
      </c>
      <c r="Q47">
        <f t="shared" ca="1" si="37"/>
        <v>1.3650167268732416</v>
      </c>
      <c r="R47">
        <f t="shared" ca="1" si="37"/>
        <v>1.406973078109792</v>
      </c>
      <c r="S47">
        <f t="shared" ca="1" si="37"/>
        <v>1.3858571887434292</v>
      </c>
      <c r="T47">
        <f t="shared" ca="1" si="37"/>
        <v>1.3079678117951115</v>
      </c>
      <c r="U47">
        <f t="shared" ca="1" si="37"/>
        <v>1.1885909707460742</v>
      </c>
      <c r="V47">
        <f t="shared" ca="1" si="37"/>
        <v>1.0446121403726694</v>
      </c>
      <c r="W47">
        <f t="shared" ca="1" si="37"/>
        <v>0.88763541209337093</v>
      </c>
      <c r="X47">
        <f t="shared" ca="1" si="37"/>
        <v>0.73074532885732113</v>
      </c>
      <c r="Y47">
        <f t="shared" ca="1" si="37"/>
        <v>0.58682094327420398</v>
      </c>
      <c r="Z47">
        <f t="shared" ca="1" si="37"/>
        <v>0.50435568523292362</v>
      </c>
      <c r="AA47">
        <f t="shared" ca="1" si="37"/>
        <v>0.42758602921731664</v>
      </c>
      <c r="AB47">
        <f t="shared" ca="1" si="37"/>
        <v>0.35875785490905787</v>
      </c>
      <c r="AC47">
        <f t="shared" ca="1" si="37"/>
        <v>0.29848233156523174</v>
      </c>
      <c r="AD47">
        <f t="shared" ca="1" si="37"/>
        <v>0.24656242236227083</v>
      </c>
      <c r="AE47">
        <f t="shared" ca="1" si="37"/>
        <v>0.20240780359181609</v>
      </c>
      <c r="AF47">
        <f t="shared" ca="1" si="37"/>
        <v>0.16524803990537065</v>
      </c>
      <c r="AG47">
        <f t="shared" ca="1" si="37"/>
        <v>0.13425079120963024</v>
      </c>
      <c r="AH47">
        <f t="shared" ca="1" si="37"/>
        <v>0.10859083390248021</v>
      </c>
      <c r="AI47">
        <f t="shared" ca="1" si="37"/>
        <v>0.38656645669053008</v>
      </c>
    </row>
    <row r="48" spans="1:35">
      <c r="A48" s="1" t="s">
        <v>43</v>
      </c>
      <c r="B48" s="120">
        <f ca="1">f1_*re*phi_q1</f>
        <v>25844.008932292327</v>
      </c>
      <c r="C48" s="19">
        <f ca="1">ye_1/SUM(ye_1,ye_2,ye_3)</f>
        <v>0.60367653566062174</v>
      </c>
      <c r="F48" t="s">
        <v>84</v>
      </c>
      <c r="G48" s="30">
        <f ca="1">G40/G54</f>
        <v>1.0967635371800681</v>
      </c>
      <c r="H48" s="30">
        <f t="shared" ref="H48:I49" ca="1" si="38">H40/H54</f>
        <v>0.99999999999999989</v>
      </c>
      <c r="I48" s="30">
        <f ca="1">I54/I40</f>
        <v>2.135348609404482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1.8874508830127149E-2</v>
      </c>
      <c r="Q48">
        <f t="shared" ca="1" si="39"/>
        <v>5.5003520487977887E-2</v>
      </c>
      <c r="R48">
        <f t="shared" ca="1" si="39"/>
        <v>0.18885060891744604</v>
      </c>
      <c r="S48">
        <f t="shared" ca="1" si="39"/>
        <v>0.95651541218783032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1.8861252155491548</v>
      </c>
      <c r="W48">
        <f t="shared" ca="1" si="39"/>
        <v>1.576394493068761</v>
      </c>
      <c r="X48">
        <f t="shared" ca="1" si="39"/>
        <v>1.271996355892731</v>
      </c>
      <c r="Y48">
        <f t="shared" ca="1" si="39"/>
        <v>1.0005358619527485</v>
      </c>
      <c r="Z48">
        <f t="shared" ca="1" si="39"/>
        <v>0.85993173222431452</v>
      </c>
      <c r="AA48">
        <f t="shared" ca="1" si="39"/>
        <v>0.72903866367631609</v>
      </c>
      <c r="AB48">
        <f t="shared" ca="1" si="39"/>
        <v>0.6116859047173212</v>
      </c>
      <c r="AC48">
        <f t="shared" ca="1" si="39"/>
        <v>0.50891550533965624</v>
      </c>
      <c r="AD48">
        <f t="shared" ca="1" si="39"/>
        <v>0.42039151569292099</v>
      </c>
      <c r="AE48">
        <f t="shared" ca="1" si="39"/>
        <v>0.34510742766396207</v>
      </c>
      <c r="AF48">
        <f t="shared" ca="1" si="39"/>
        <v>0.28174964090445787</v>
      </c>
      <c r="AG48">
        <f t="shared" ca="1" si="39"/>
        <v>0.22889900682702943</v>
      </c>
      <c r="AH48">
        <f t="shared" ca="1" si="39"/>
        <v>0.18514851053640277</v>
      </c>
      <c r="AI48">
        <f t="shared" ca="1" si="39"/>
        <v>0.65909986236832641</v>
      </c>
    </row>
    <row r="49" spans="1:47">
      <c r="A49" s="1" t="s">
        <v>44</v>
      </c>
      <c r="B49" s="120">
        <f ca="1">f2_*re*phi_q2</f>
        <v>9638.2314155313943</v>
      </c>
      <c r="C49" s="19">
        <f ca="1">ye_2/SUM(ye_1,ye_2,ye_3)</f>
        <v>0.22513434994031634</v>
      </c>
      <c r="F49" t="s">
        <v>85</v>
      </c>
      <c r="G49" s="30">
        <f ca="1">G41/G55</f>
        <v>1.0920143516666538</v>
      </c>
      <c r="H49" s="30">
        <f t="shared" ca="1" si="38"/>
        <v>0.46830760822650203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0">
        <f ca="1">f3_*re*phi_q3</f>
        <v>7328.7807961576909</v>
      </c>
      <c r="C50" s="19">
        <f ca="1">ye_3/SUM(ye_1,ye_2,ye_3)</f>
        <v>0.17118911439906187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42811.021143981416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25843983088.473148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978.87244212325538</v>
      </c>
      <c r="H52" s="56">
        <f ca="1">H40^0.5</f>
        <v>596.88650573084385</v>
      </c>
      <c r="I52" s="10">
        <f ca="1">I41^0.5</f>
        <v>609.43999371840334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9638221777.2572155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1.2491659882215269</v>
      </c>
      <c r="C53">
        <f ca="1">AVERAGE(B53:B55)/B53</f>
        <v>0.55217208826670128</v>
      </c>
      <c r="G53">
        <f ca="1">G$52*$J53</f>
        <v>958191.25794834597</v>
      </c>
      <c r="H53">
        <f t="shared" ref="G53:I55" ca="1" si="40">H$52*$J53</f>
        <v>584275.75153516757</v>
      </c>
      <c r="I53">
        <f t="shared" ca="1" si="40"/>
        <v>596564.01497871487</v>
      </c>
      <c r="J53">
        <f t="array" aca="1" ref="J53:J55" ca="1">TRANSPOSE(G52:I52)</f>
        <v>978.87244212325538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7328773467.3443966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0.46586235527284081</v>
      </c>
      <c r="C54">
        <f ca="1">AVERAGE(B53:B55)/B54</f>
        <v>1.4805974007151761</v>
      </c>
      <c r="G54">
        <f t="shared" ca="1" si="40"/>
        <v>584275.75153516757</v>
      </c>
      <c r="H54">
        <f t="shared" ca="1" si="40"/>
        <v>356273.5007235767</v>
      </c>
      <c r="I54">
        <f ca="1">I$52*$J54</f>
        <v>363766.50830320519</v>
      </c>
      <c r="J54">
        <f ca="1"/>
        <v>596.88650573084385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0.35423543342968683</v>
      </c>
      <c r="C55">
        <f ca="1">AVERAGE(B53:B55)/B55</f>
        <v>1.9471643071667182</v>
      </c>
      <c r="G55">
        <f t="shared" ca="1" si="40"/>
        <v>596564.01497871487</v>
      </c>
      <c r="H55">
        <f t="shared" ca="1" si="40"/>
        <v>363766.50830320519</v>
      </c>
      <c r="I55">
        <f t="shared" ca="1" si="40"/>
        <v>371417.10594348749</v>
      </c>
      <c r="J55">
        <f ca="1"/>
        <v>609.43999371840334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4.4667692660797821E-2</v>
      </c>
      <c r="C56">
        <f ca="1">AVERAGE(B56:B58)/B56</f>
        <v>1.0015529916011849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7.0997393739105075E-2</v>
      </c>
      <c r="C57">
        <f ca="1">AVERAGE(B56:B58)/B57</f>
        <v>0.63012258417175315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1.8546097237130136E-2</v>
      </c>
      <c r="C58">
        <f ca="1">AVERAGE(B56:B58)/B58</f>
        <v>2.4122089213885221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27.965760347362774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6.5616824891453129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19.100268315238381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1"/>
  <sheetViews>
    <sheetView workbookViewId="0">
      <pane xSplit="10" topLeftCell="AB1" activePane="topRight" state="frozen"/>
      <selection pane="topRight" activeCell="G6" sqref="G6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7" width="10" customWidth="1"/>
    <col min="8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J2" t="s">
        <v>1</v>
      </c>
    </row>
    <row r="3" spans="1:35"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171</v>
      </c>
      <c r="E4" s="46">
        <v>24977</v>
      </c>
      <c r="F4" s="46">
        <f ca="1">ye_1</f>
        <v>27139.749506251817</v>
      </c>
      <c r="J4" t="s">
        <v>78</v>
      </c>
      <c r="K4" s="1">
        <f t="shared" ref="K4:AH4" si="0">linf*(1-EXP(-vonbk*(age+to)))</f>
        <v>17.988476469494113</v>
      </c>
      <c r="L4" s="1">
        <f t="shared" si="0"/>
        <v>28.143591925289599</v>
      </c>
      <c r="M4" s="1">
        <f t="shared" si="0"/>
        <v>37.522488728582118</v>
      </c>
      <c r="N4" s="1">
        <f t="shared" si="0"/>
        <v>46.184498100086614</v>
      </c>
      <c r="O4" s="1">
        <f t="shared" si="0"/>
        <v>54.184416206200311</v>
      </c>
      <c r="P4" s="1">
        <f t="shared" si="0"/>
        <v>61.57285080141822</v>
      </c>
      <c r="Q4" s="1">
        <f t="shared" si="0"/>
        <v>68.39654137471237</v>
      </c>
      <c r="R4" s="1">
        <f t="shared" si="0"/>
        <v>74.698654825131271</v>
      </c>
      <c r="S4" s="1">
        <f t="shared" si="0"/>
        <v>80.519058537074145</v>
      </c>
      <c r="T4" s="1">
        <f t="shared" si="0"/>
        <v>85.894572582722859</v>
      </c>
      <c r="U4" s="1">
        <f t="shared" si="0"/>
        <v>90.859202647073005</v>
      </c>
      <c r="V4" s="1">
        <f t="shared" si="0"/>
        <v>95.44435514905561</v>
      </c>
      <c r="W4" s="1">
        <f t="shared" si="0"/>
        <v>99.679035919613639</v>
      </c>
      <c r="X4" s="1">
        <f t="shared" si="0"/>
        <v>103.59003369357639</v>
      </c>
      <c r="Y4" s="1">
        <f t="shared" si="0"/>
        <v>107.20208957610895</v>
      </c>
      <c r="Z4" s="1">
        <f t="shared" si="0"/>
        <v>110.53805355578629</v>
      </c>
      <c r="AA4" s="1">
        <f t="shared" si="0"/>
        <v>113.61902905439959</v>
      </c>
      <c r="AB4" s="1">
        <f t="shared" si="0"/>
        <v>116.46450642792129</v>
      </c>
      <c r="AC4" s="1">
        <f t="shared" si="0"/>
        <v>119.09248626316123</v>
      </c>
      <c r="AD4" s="1">
        <f t="shared" si="0"/>
        <v>121.5195932500919</v>
      </c>
      <c r="AE4" s="1">
        <f t="shared" si="0"/>
        <v>123.76118135020377</v>
      </c>
      <c r="AF4" s="1">
        <f t="shared" si="0"/>
        <v>125.83143092618859</v>
      </c>
      <c r="AG4" s="1">
        <f t="shared" si="0"/>
        <v>127.74343844739712</v>
      </c>
      <c r="AH4" s="1">
        <f t="shared" si="0"/>
        <v>129.50929933855022</v>
      </c>
      <c r="AI4" s="1">
        <f>linf*(1-EXP(-vonbk*(age+to)))</f>
        <v>131.14018449580794</v>
      </c>
    </row>
    <row r="5" spans="1:35">
      <c r="A5" s="26" t="s">
        <v>46</v>
      </c>
      <c r="B5" s="18" t="s">
        <v>47</v>
      </c>
      <c r="C5" s="20" t="s">
        <v>48</v>
      </c>
      <c r="E5" s="46">
        <v>9315</v>
      </c>
      <c r="F5" s="46">
        <f ca="1">ye_2</f>
        <v>9314.9999084514002</v>
      </c>
      <c r="J5" t="s">
        <v>3</v>
      </c>
      <c r="K5" s="9">
        <f t="shared" ref="K5:AI5" si="1">0.00000692*len^3.24</f>
        <v>8.0591250295953529E-2</v>
      </c>
      <c r="L5" s="9">
        <f t="shared" si="1"/>
        <v>0.34363370566266072</v>
      </c>
      <c r="M5" s="9">
        <f t="shared" si="1"/>
        <v>0.87259153282617785</v>
      </c>
      <c r="N5" s="9">
        <f t="shared" si="1"/>
        <v>1.7103062171013885</v>
      </c>
      <c r="O5" s="9">
        <f t="shared" si="1"/>
        <v>2.8698496560174083</v>
      </c>
      <c r="P5" s="9">
        <f t="shared" si="1"/>
        <v>4.3423747683644223</v>
      </c>
      <c r="Q5" s="9">
        <f t="shared" si="1"/>
        <v>6.1040307381029919</v>
      </c>
      <c r="R5" s="9">
        <f t="shared" si="1"/>
        <v>8.1215608997688467</v>
      </c>
      <c r="S5" s="9">
        <f t="shared" si="1"/>
        <v>10.356615299778024</v>
      </c>
      <c r="T5" s="9">
        <f t="shared" si="1"/>
        <v>12.768945602324001</v>
      </c>
      <c r="U5" s="9">
        <f t="shared" si="1"/>
        <v>15.318681949781219</v>
      </c>
      <c r="V5" s="9">
        <f t="shared" si="1"/>
        <v>17.967882472883005</v>
      </c>
      <c r="W5" s="9">
        <f t="shared" si="1"/>
        <v>20.681522180929445</v>
      </c>
      <c r="X5" s="9">
        <f t="shared" si="1"/>
        <v>23.428060198405031</v>
      </c>
      <c r="Y5" s="9">
        <f t="shared" si="1"/>
        <v>26.179697655464775</v>
      </c>
      <c r="Z5" s="9">
        <f t="shared" si="1"/>
        <v>28.91241495110766</v>
      </c>
      <c r="AA5" s="9">
        <f t="shared" si="1"/>
        <v>31.605857162379316</v>
      </c>
      <c r="AB5" s="9">
        <f t="shared" si="1"/>
        <v>34.243119993698208</v>
      </c>
      <c r="AC5" s="9">
        <f t="shared" si="1"/>
        <v>36.810475489355632</v>
      </c>
      <c r="AD5" s="9">
        <f t="shared" si="1"/>
        <v>39.297066315159647</v>
      </c>
      <c r="AE5" s="9">
        <f t="shared" si="1"/>
        <v>41.694589292671694</v>
      </c>
      <c r="AF5" s="9">
        <f t="shared" si="1"/>
        <v>43.996982619123806</v>
      </c>
      <c r="AG5" s="9">
        <f t="shared" si="1"/>
        <v>46.200126459138957</v>
      </c>
      <c r="AH5" s="9">
        <f t="shared" si="1"/>
        <v>48.30156303905391</v>
      </c>
      <c r="AI5" s="9">
        <f t="shared" si="1"/>
        <v>50.300239753226329</v>
      </c>
    </row>
    <row r="6" spans="1:35">
      <c r="A6" t="s">
        <v>105</v>
      </c>
      <c r="B6" s="24">
        <v>0.60367693182690907</v>
      </c>
      <c r="C6" s="21">
        <f ca="1">ypr1/SUM(ypr1,ypr2,ypr3)</f>
        <v>0.60367918441896984</v>
      </c>
      <c r="E6" s="46">
        <v>7083</v>
      </c>
      <c r="F6" s="46">
        <f ca="1">ye_3</f>
        <v>8502.4898056176444</v>
      </c>
      <c r="G6" s="125">
        <f>B6/SUM(B6,B8)</f>
        <v>0.76144734657921587</v>
      </c>
      <c r="H6">
        <f>(1-B7)*G6</f>
        <v>0.60367693182690907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t="s">
        <v>106</v>
      </c>
      <c r="B7" s="44">
        <v>0.20719806229687007</v>
      </c>
      <c r="C7" s="21">
        <f ca="1">ypr2/SUM(ypr1,ypr2,ypr3)</f>
        <v>0.20719688463968181</v>
      </c>
      <c r="J7" t="s">
        <v>7</v>
      </c>
      <c r="K7" s="1">
        <f>1</f>
        <v>1</v>
      </c>
      <c r="L7" s="1">
        <f ca="1">K7*EXP(-K8)</f>
        <v>0.86056196349352787</v>
      </c>
      <c r="M7" s="1">
        <f t="shared" ref="M7:AH7" ca="1" si="3">L7*EXP(-L8)</f>
        <v>0.73907833991364047</v>
      </c>
      <c r="N7" s="1">
        <f t="shared" ca="1" si="3"/>
        <v>0.62669125489556821</v>
      </c>
      <c r="O7" s="1">
        <f t="shared" ca="1" si="3"/>
        <v>0.5265869564122736</v>
      </c>
      <c r="P7" s="1">
        <f t="shared" ca="1" si="3"/>
        <v>0.44280312383718173</v>
      </c>
      <c r="Q7" s="1">
        <f t="shared" ca="1" si="3"/>
        <v>0.37294984876994303</v>
      </c>
      <c r="R7" s="1">
        <f t="shared" ca="1" si="3"/>
        <v>0.31451000779005223</v>
      </c>
      <c r="S7" s="1">
        <f t="shared" ca="1" si="3"/>
        <v>0.26519389190713838</v>
      </c>
      <c r="T7" s="1">
        <f t="shared" ca="1" si="3"/>
        <v>0.22174262346513177</v>
      </c>
      <c r="U7" s="1">
        <f t="shared" ca="1" si="3"/>
        <v>0.18251767725581547</v>
      </c>
      <c r="V7" s="1">
        <f t="shared" ca="1" si="3"/>
        <v>0.14850677313244798</v>
      </c>
      <c r="W7" s="1">
        <f t="shared" ca="1" si="3"/>
        <v>0.11887860334371154</v>
      </c>
      <c r="X7" s="1">
        <f t="shared" ca="1" si="3"/>
        <v>9.3147533333997473E-2</v>
      </c>
      <c r="Y7" s="1">
        <f t="shared" ca="1" si="3"/>
        <v>7.1679267283827647E-2</v>
      </c>
      <c r="Z7" s="1">
        <f t="shared" ca="1" si="3"/>
        <v>5.4615283726997414E-2</v>
      </c>
      <c r="AA7" s="1">
        <f t="shared" ca="1" si="3"/>
        <v>4.1364476909936894E-2</v>
      </c>
      <c r="AB7" s="1">
        <f t="shared" ca="1" si="3"/>
        <v>3.1248884904168633E-2</v>
      </c>
      <c r="AC7" s="1">
        <f t="shared" ca="1" si="3"/>
        <v>2.3582805308073808E-2</v>
      </c>
      <c r="AD7" s="1">
        <f t="shared" ca="1" si="3"/>
        <v>1.7790183979761537E-2</v>
      </c>
      <c r="AE7" s="1">
        <f t="shared" ca="1" si="3"/>
        <v>1.3418276221624011E-2</v>
      </c>
      <c r="AF7" s="1">
        <f t="shared" ca="1" si="3"/>
        <v>1.0120138509099061E-2</v>
      </c>
      <c r="AG7" s="1">
        <f t="shared" ca="1" si="3"/>
        <v>7.6324873349414828E-3</v>
      </c>
      <c r="AH7" s="1">
        <f t="shared" ca="1" si="3"/>
        <v>5.7562819841914994E-3</v>
      </c>
      <c r="AI7" s="1">
        <f ca="1">AH7*EXP(-AH8)/(1-EXP(-AI8))</f>
        <v>1.7660315429119125E-2</v>
      </c>
    </row>
    <row r="8" spans="1:35">
      <c r="A8" t="s">
        <v>107</v>
      </c>
      <c r="B8" s="44">
        <f>1-SUM(B6:B7)</f>
        <v>0.18912500587622083</v>
      </c>
      <c r="C8" s="21">
        <f ca="1">ypr3/SUM(ypr1,ypr2,ypr3)</f>
        <v>0.18912393094134844</v>
      </c>
      <c r="E8" t="s">
        <v>110</v>
      </c>
      <c r="F8">
        <f ca="1">SUMXMY2(E4:E6,F4:F6)</f>
        <v>6692436.7350449059</v>
      </c>
      <c r="G8" s="125">
        <f>B8/SUM(B6,B8)</f>
        <v>0.23855265342078413</v>
      </c>
      <c r="H8">
        <f>(1-B7)*G8</f>
        <v>0.18912500587622083</v>
      </c>
      <c r="J8" t="s">
        <v>11</v>
      </c>
      <c r="K8" s="1">
        <f ca="1">M+f1_*flt1_ +f2_*flt2_ +f3_*flt3_</f>
        <v>0.15016965721470402</v>
      </c>
      <c r="L8" s="1">
        <f t="shared" ref="L8:AI8" ca="1" si="4">M+f1_*flt1_ +f2_*flt2_ +f3_*flt3_</f>
        <v>0.15218169843546273</v>
      </c>
      <c r="M8" s="1">
        <f t="shared" ca="1" si="4"/>
        <v>0.16494992041033674</v>
      </c>
      <c r="N8" s="1">
        <f t="shared" ca="1" si="4"/>
        <v>0.17403752560737432</v>
      </c>
      <c r="O8" s="1">
        <f t="shared" ca="1" si="4"/>
        <v>0.17329122176847939</v>
      </c>
      <c r="P8" s="1">
        <f t="shared" ca="1" si="4"/>
        <v>0.17168129864155807</v>
      </c>
      <c r="Q8" s="1">
        <f t="shared" ca="1" si="4"/>
        <v>0.17042805999798652</v>
      </c>
      <c r="R8" s="1">
        <f t="shared" ca="1" si="4"/>
        <v>0.17055467088413409</v>
      </c>
      <c r="S8" s="1">
        <f t="shared" ca="1" si="4"/>
        <v>0.17894387048094237</v>
      </c>
      <c r="T8" s="1">
        <f t="shared" ca="1" si="4"/>
        <v>0.19467032553370073</v>
      </c>
      <c r="U8" s="1">
        <f t="shared" ca="1" si="4"/>
        <v>0.20621646248530781</v>
      </c>
      <c r="V8" s="1">
        <f t="shared" ca="1" si="4"/>
        <v>0.222527735076362</v>
      </c>
      <c r="W8" s="1">
        <f t="shared" ca="1" si="4"/>
        <v>0.24391821632854485</v>
      </c>
      <c r="X8" s="1">
        <f t="shared" ca="1" si="4"/>
        <v>0.26198306954762896</v>
      </c>
      <c r="Y8" s="1">
        <f t="shared" ca="1" si="4"/>
        <v>0.27188778124965629</v>
      </c>
      <c r="Z8" s="1">
        <f t="shared" ca="1" si="4"/>
        <v>0.2778912984742718</v>
      </c>
      <c r="AA8" s="1">
        <f t="shared" ca="1" si="4"/>
        <v>0.28043877436653541</v>
      </c>
      <c r="AB8" s="1">
        <f t="shared" ca="1" si="4"/>
        <v>0.28146583463822306</v>
      </c>
      <c r="AC8" s="1">
        <f t="shared" ca="1" si="4"/>
        <v>0.2818710144650276</v>
      </c>
      <c r="AD8" s="1">
        <f t="shared" ca="1" si="4"/>
        <v>0.28202916854576354</v>
      </c>
      <c r="AE8" s="1">
        <f t="shared" ca="1" si="4"/>
        <v>0.28209032439461146</v>
      </c>
      <c r="AF8" s="1">
        <f t="shared" ca="1" si="4"/>
        <v>0.2821135641691308</v>
      </c>
      <c r="AG8" s="1">
        <f t="shared" ca="1" si="4"/>
        <v>0.28212200883186112</v>
      </c>
      <c r="AH8" s="1">
        <f t="shared" ca="1" si="4"/>
        <v>0.28212468428562981</v>
      </c>
      <c r="AI8" s="1">
        <f t="shared" ca="1" si="4"/>
        <v>0.28212511068581858</v>
      </c>
    </row>
    <row r="9" spans="1:35">
      <c r="A9" s="8" t="s">
        <v>49</v>
      </c>
      <c r="B9">
        <v>0.4</v>
      </c>
      <c r="C9">
        <f ca="1">spr</f>
        <v>0.39999190484589991</v>
      </c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/>
      <c r="J10" t="s">
        <v>55</v>
      </c>
      <c r="K10" s="1">
        <f t="shared" ref="K10:AI10" ca="1" si="5">EXP(-za)</f>
        <v>0.86056196349352787</v>
      </c>
      <c r="L10" s="1">
        <f t="shared" ca="1" si="5"/>
        <v>0.8588322180930309</v>
      </c>
      <c r="M10" s="1">
        <f t="shared" ca="1" si="5"/>
        <v>0.84793616731995636</v>
      </c>
      <c r="N10" s="1">
        <f t="shared" ca="1" si="5"/>
        <v>0.84026536559860565</v>
      </c>
      <c r="O10" s="1">
        <f t="shared" ca="1" si="5"/>
        <v>0.84089269292592173</v>
      </c>
      <c r="P10" s="1">
        <f t="shared" ca="1" si="5"/>
        <v>0.84224755583945776</v>
      </c>
      <c r="Q10" s="1">
        <f t="shared" ca="1" si="5"/>
        <v>0.84330375472027641</v>
      </c>
      <c r="R10" s="1">
        <f t="shared" ca="1" si="5"/>
        <v>0.84319699004352744</v>
      </c>
      <c r="S10" s="1">
        <f t="shared" ca="1" si="5"/>
        <v>0.83615283093616</v>
      </c>
      <c r="T10" s="1">
        <f t="shared" ca="1" si="5"/>
        <v>0.82310597035267652</v>
      </c>
      <c r="U10" s="1">
        <f t="shared" ca="1" si="5"/>
        <v>0.81365693101771153</v>
      </c>
      <c r="V10" s="1">
        <f t="shared" ca="1" si="5"/>
        <v>0.80049280471327666</v>
      </c>
      <c r="W10" s="1">
        <f t="shared" ca="1" si="5"/>
        <v>0.78355171337840923</v>
      </c>
      <c r="X10" s="1">
        <f t="shared" ca="1" si="5"/>
        <v>0.76952405198759866</v>
      </c>
      <c r="Y10" s="1">
        <f t="shared" ca="1" si="5"/>
        <v>0.76193976022017418</v>
      </c>
      <c r="Z10" s="1">
        <f t="shared" ca="1" si="5"/>
        <v>0.75737914530854322</v>
      </c>
      <c r="AA10" s="1">
        <f t="shared" ca="1" si="5"/>
        <v>0.75545219566554667</v>
      </c>
      <c r="AB10" s="1">
        <f t="shared" ca="1" si="5"/>
        <v>0.75467669903727785</v>
      </c>
      <c r="AC10" s="1">
        <f t="shared" ca="1" si="5"/>
        <v>0.7543709812026006</v>
      </c>
      <c r="AD10" s="1">
        <f t="shared" ca="1" si="5"/>
        <v>0.75425168378746987</v>
      </c>
      <c r="AE10" s="1">
        <f t="shared" ca="1" si="5"/>
        <v>0.75420555829593905</v>
      </c>
      <c r="AF10" s="1">
        <f t="shared" ca="1" si="5"/>
        <v>0.75418803093248976</v>
      </c>
      <c r="AG10" s="1">
        <f t="shared" ca="1" si="5"/>
        <v>0.75418166209582471</v>
      </c>
      <c r="AH10" s="1">
        <f t="shared" ca="1" si="5"/>
        <v>0.75417964432035378</v>
      </c>
      <c r="AI10" s="1">
        <f t="shared" ca="1" si="5"/>
        <v>0.75417932273807964</v>
      </c>
    </row>
    <row r="11" spans="1:35">
      <c r="A11" s="23" t="s">
        <v>97</v>
      </c>
      <c r="B11" s="15"/>
      <c r="C11" s="15"/>
      <c r="J11" t="s">
        <v>56</v>
      </c>
      <c r="K11" s="1">
        <f ca="1">1-sa</f>
        <v>0.13943803650647213</v>
      </c>
      <c r="L11" s="1">
        <f t="shared" ref="L11:AI11" ca="1" si="6">1-sa</f>
        <v>0.1411677819069691</v>
      </c>
      <c r="M11" s="1">
        <f t="shared" ca="1" si="6"/>
        <v>0.15206383268004364</v>
      </c>
      <c r="N11" s="1">
        <f t="shared" ca="1" si="6"/>
        <v>0.15973463440139435</v>
      </c>
      <c r="O11" s="1">
        <f t="shared" ca="1" si="6"/>
        <v>0.15910730707407827</v>
      </c>
      <c r="P11" s="1">
        <f t="shared" ca="1" si="6"/>
        <v>0.15775244416054224</v>
      </c>
      <c r="Q11" s="1">
        <f t="shared" ca="1" si="6"/>
        <v>0.15669624527972359</v>
      </c>
      <c r="R11" s="1">
        <f t="shared" ca="1" si="6"/>
        <v>0.15680300995647256</v>
      </c>
      <c r="S11" s="1">
        <f t="shared" ca="1" si="6"/>
        <v>0.16384716906384</v>
      </c>
      <c r="T11" s="1">
        <f t="shared" ca="1" si="6"/>
        <v>0.17689402964732348</v>
      </c>
      <c r="U11" s="1">
        <f t="shared" ca="1" si="6"/>
        <v>0.18634306898228847</v>
      </c>
      <c r="V11" s="1">
        <f t="shared" ca="1" si="6"/>
        <v>0.19950719528672334</v>
      </c>
      <c r="W11" s="1">
        <f t="shared" ca="1" si="6"/>
        <v>0.21644828662159077</v>
      </c>
      <c r="X11" s="1">
        <f t="shared" ca="1" si="6"/>
        <v>0.23047594801240134</v>
      </c>
      <c r="Y11" s="1">
        <f t="shared" ca="1" si="6"/>
        <v>0.23806023977982582</v>
      </c>
      <c r="Z11" s="1">
        <f t="shared" ca="1" si="6"/>
        <v>0.24262085469145678</v>
      </c>
      <c r="AA11" s="1">
        <f t="shared" ca="1" si="6"/>
        <v>0.24454780433445333</v>
      </c>
      <c r="AB11" s="1">
        <f t="shared" ca="1" si="6"/>
        <v>0.24532330096272215</v>
      </c>
      <c r="AC11" s="1">
        <f t="shared" ca="1" si="6"/>
        <v>0.2456290187973994</v>
      </c>
      <c r="AD11" s="1">
        <f t="shared" ca="1" si="6"/>
        <v>0.24574831621253013</v>
      </c>
      <c r="AE11" s="1">
        <f t="shared" ca="1" si="6"/>
        <v>0.24579444170406095</v>
      </c>
      <c r="AF11" s="1">
        <f t="shared" ca="1" si="6"/>
        <v>0.24581196906751024</v>
      </c>
      <c r="AG11" s="1">
        <f t="shared" ca="1" si="6"/>
        <v>0.24581833790417529</v>
      </c>
      <c r="AH11" s="1">
        <f t="shared" ca="1" si="6"/>
        <v>0.24582035567964622</v>
      </c>
      <c r="AI11" s="1">
        <f t="shared" ca="1" si="6"/>
        <v>0.24582067726192036</v>
      </c>
    </row>
    <row r="12" spans="1:35">
      <c r="A12" s="26" t="s">
        <v>46</v>
      </c>
      <c r="B12" s="18" t="s">
        <v>47</v>
      </c>
      <c r="C12" s="20" t="s">
        <v>48</v>
      </c>
      <c r="J12" t="s">
        <v>99</v>
      </c>
      <c r="K12">
        <f>1/(1+EXP(($E18-len)/2.5))</f>
        <v>7.5868137214273986E-12</v>
      </c>
      <c r="L12">
        <f t="shared" ref="L12:AI12" si="7">1/(1+EXP(($E18-len)/2.5))</f>
        <v>4.4074121343912161E-10</v>
      </c>
      <c r="M12">
        <f t="shared" si="7"/>
        <v>1.877002738565296E-8</v>
      </c>
      <c r="N12">
        <f t="shared" si="7"/>
        <v>6.0008089846360986E-7</v>
      </c>
      <c r="O12">
        <f t="shared" si="7"/>
        <v>1.472081265802922E-5</v>
      </c>
      <c r="P12">
        <f t="shared" si="7"/>
        <v>2.8269487723661966E-4</v>
      </c>
      <c r="Q12">
        <f t="shared" si="7"/>
        <v>4.3147859074038758E-3</v>
      </c>
      <c r="R12">
        <f>1/(1+EXP(($E18-len)/2.5))</f>
        <v>5.1147581264469943E-2</v>
      </c>
      <c r="S12">
        <f t="shared" si="7"/>
        <v>0.35608974129798304</v>
      </c>
      <c r="T12">
        <f t="shared" si="7"/>
        <v>0.8260416126181217</v>
      </c>
      <c r="U12">
        <f t="shared" si="7"/>
        <v>0.97190539921530195</v>
      </c>
      <c r="V12">
        <f t="shared" si="7"/>
        <v>0.99540299220345929</v>
      </c>
      <c r="W12">
        <f t="shared" si="7"/>
        <v>0.9991518583274106</v>
      </c>
      <c r="X12">
        <f t="shared" si="7"/>
        <v>0.99982243806052584</v>
      </c>
      <c r="Y12">
        <f t="shared" si="7"/>
        <v>0.99995812735063538</v>
      </c>
      <c r="Z12">
        <f t="shared" si="7"/>
        <v>0.9999889737575447</v>
      </c>
      <c r="AA12">
        <f t="shared" si="7"/>
        <v>0.99999678478020437</v>
      </c>
      <c r="AB12">
        <f t="shared" si="7"/>
        <v>0.99999896984738978</v>
      </c>
      <c r="AC12">
        <f t="shared" si="7"/>
        <v>0.99999963993989649</v>
      </c>
      <c r="AD12">
        <f t="shared" si="7"/>
        <v>0.99999986362227844</v>
      </c>
      <c r="AE12">
        <f t="shared" si="7"/>
        <v>0.99999994436607142</v>
      </c>
      <c r="AF12">
        <f t="shared" si="7"/>
        <v>0.9999999756947241</v>
      </c>
      <c r="AG12">
        <f t="shared" si="7"/>
        <v>0.99999998868770212</v>
      </c>
      <c r="AH12">
        <f t="shared" si="7"/>
        <v>0.9999999944180058</v>
      </c>
      <c r="AI12">
        <f t="shared" si="7"/>
        <v>0.9999999970927953</v>
      </c>
    </row>
    <row r="13" spans="1:35">
      <c r="A13" t="s">
        <v>105</v>
      </c>
      <c r="B13" s="24">
        <f t="shared" ref="B13:B15" si="8">E4/SUM(E$4:E$6)</f>
        <v>0.60367371601208464</v>
      </c>
      <c r="C13" s="21">
        <f ca="1">ypr1/SUM(ypr1,ypr2,ypr3)</f>
        <v>0.60367918441896984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t="s">
        <v>106</v>
      </c>
      <c r="B14" s="24">
        <f t="shared" si="8"/>
        <v>0.22513595166163142</v>
      </c>
      <c r="C14" s="21">
        <f ca="1">ypr2/SUM(ypr1,ypr2,ypr3)</f>
        <v>0.20719688463968181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t="s">
        <v>107</v>
      </c>
      <c r="B15" s="24">
        <f t="shared" si="8"/>
        <v>0.171190332326284</v>
      </c>
      <c r="C15" s="21">
        <f ca="1">ypr3/SUM(ypr1,ypr2,ypr3)</f>
        <v>0.18912393094134844</v>
      </c>
    </row>
    <row r="16" spans="1:35">
      <c r="A16" s="26" t="s">
        <v>49</v>
      </c>
      <c r="B16" s="29">
        <v>0.4</v>
      </c>
      <c r="C16" s="22">
        <f ca="1">spr</f>
        <v>0.39999190484589991</v>
      </c>
    </row>
    <row r="17" spans="1:39">
      <c r="A17" s="5"/>
      <c r="B17" s="25"/>
      <c r="C17" s="25"/>
      <c r="E17" t="s">
        <v>81</v>
      </c>
      <c r="F17" t="s">
        <v>82</v>
      </c>
      <c r="G17" s="124" t="s">
        <v>9</v>
      </c>
      <c r="H17" s="124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s="11" t="s">
        <v>98</v>
      </c>
      <c r="B18" s="11"/>
      <c r="C18" s="11"/>
      <c r="E18">
        <v>82</v>
      </c>
      <c r="F18" s="30">
        <v>0.16</v>
      </c>
      <c r="G18" s="124">
        <f>Selectivities!A13</f>
        <v>12.625404070365327</v>
      </c>
      <c r="H18" s="124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s="26" t="s">
        <v>46</v>
      </c>
      <c r="B19" s="18" t="s">
        <v>47</v>
      </c>
      <c r="C19" s="16" t="s">
        <v>48</v>
      </c>
      <c r="E19">
        <v>200</v>
      </c>
      <c r="F19" s="30">
        <v>0.8</v>
      </c>
      <c r="G19" s="124">
        <f>Selectivities!A14</f>
        <v>2.9399479121449108</v>
      </c>
      <c r="H19" s="124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20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s="5">
        <v>1</v>
      </c>
      <c r="B20" s="24">
        <v>0.33281383386907948</v>
      </c>
      <c r="C20" s="17">
        <f ca="1">mpr1_/SUM(mpr1_,mpr2_,mpr3_)</f>
        <v>0.34104737996381651</v>
      </c>
      <c r="E20">
        <v>82</v>
      </c>
      <c r="F20">
        <v>3.5000000000000003E-2</v>
      </c>
      <c r="G20" s="124">
        <f>Selectivities!A15</f>
        <v>6.9694296221708507</v>
      </c>
      <c r="H20" s="124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si="15"/>
        <v>0.5561914082201378</v>
      </c>
      <c r="AB20" s="4">
        <f t="shared" si="15"/>
        <v>0.5561914082201378</v>
      </c>
      <c r="AC20" s="4">
        <f t="shared" si="15"/>
        <v>0.5561914082201378</v>
      </c>
      <c r="AD20" s="4">
        <f t="shared" si="15"/>
        <v>0.5561914082201378</v>
      </c>
      <c r="AE20" s="4">
        <f t="shared" si="15"/>
        <v>0.5561914082201378</v>
      </c>
      <c r="AF20" s="4">
        <f t="shared" si="15"/>
        <v>0.5561914082201378</v>
      </c>
      <c r="AG20" s="4">
        <f t="shared" si="15"/>
        <v>0.5561914082201378</v>
      </c>
      <c r="AH20" s="4">
        <f t="shared" si="15"/>
        <v>0.5561914082201378</v>
      </c>
      <c r="AI20" s="4">
        <f t="shared" si="15"/>
        <v>0.5561914082201378</v>
      </c>
    </row>
    <row r="21" spans="1:39">
      <c r="A21" s="5">
        <v>2</v>
      </c>
      <c r="B21" s="24">
        <v>0.52899969970753113</v>
      </c>
      <c r="C21" s="17">
        <f ca="1">mpr2_/SUM(mpr1_,mpr2_,mpr3_)</f>
        <v>0.5023021079707275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s="5">
        <v>3</v>
      </c>
      <c r="B22" s="24">
        <f>1-SUM(B20:B21)</f>
        <v>0.13818646642338939</v>
      </c>
      <c r="C22" s="17">
        <f ca="1">mpr3_/SUM(mpr1_,mpr2_,mpr3_)</f>
        <v>0.15665051206545599</v>
      </c>
      <c r="J22" s="8" t="s">
        <v>23</v>
      </c>
      <c r="K22" s="1">
        <f ca="1">wa*flt1_*(1-EXP(-za))/za</f>
        <v>2.0955886752476438E-7</v>
      </c>
      <c r="L22" s="1">
        <f t="shared" ref="L22:AI22" ca="1" si="17">wa*flt1_*(1-EXP(-za))/za</f>
        <v>2.2901383481405622E-6</v>
      </c>
      <c r="M22" s="1">
        <f t="shared" ca="1" si="17"/>
        <v>1.4826298881199739E-5</v>
      </c>
      <c r="N22" s="1">
        <f t="shared" ca="1" si="17"/>
        <v>7.4214137075504611E-5</v>
      </c>
      <c r="O22" s="1">
        <f t="shared" ca="1" si="17"/>
        <v>3.1948190961752533E-4</v>
      </c>
      <c r="P22" s="1">
        <f t="shared" ca="1" si="17"/>
        <v>1.2414673472578553E-3</v>
      </c>
      <c r="Q22" s="1">
        <f t="shared" ca="1" si="17"/>
        <v>4.5607972506938321E-3</v>
      </c>
      <c r="R22" s="1">
        <f t="shared" ca="1" si="17"/>
        <v>1.916152188818232E-2</v>
      </c>
      <c r="S22" s="1">
        <f t="shared" ca="1" si="17"/>
        <v>0.13848942258283528</v>
      </c>
      <c r="T22" s="1">
        <f t="shared" ca="1" si="17"/>
        <v>0.77019293649065601</v>
      </c>
      <c r="U22" s="1">
        <f t="shared" ca="1" si="17"/>
        <v>2.4031952874666409</v>
      </c>
      <c r="V22" s="1">
        <f t="shared" ca="1" si="17"/>
        <v>5.7263933773899049</v>
      </c>
      <c r="W22" s="1">
        <f t="shared" ca="1" si="17"/>
        <v>10.772561602043661</v>
      </c>
      <c r="X22" s="1">
        <f t="shared" ca="1" si="17"/>
        <v>16.178982159741494</v>
      </c>
      <c r="Y22" s="1">
        <f t="shared" ca="1" si="17"/>
        <v>20.713082099331999</v>
      </c>
      <c r="Z22" s="1">
        <f t="shared" ca="1" si="17"/>
        <v>24.236570890522206</v>
      </c>
      <c r="AA22" s="1">
        <f t="shared" ca="1" si="17"/>
        <v>27.123302375746533</v>
      </c>
      <c r="AB22" s="1">
        <f t="shared" ca="1" si="17"/>
        <v>29.660757917732635</v>
      </c>
      <c r="AC22" s="1">
        <f t="shared" ca="1" si="17"/>
        <v>32.000767912152746</v>
      </c>
      <c r="AD22" s="1">
        <f t="shared" ca="1" si="17"/>
        <v>34.210870294464648</v>
      </c>
      <c r="AE22" s="1">
        <f t="shared" ca="1" si="17"/>
        <v>36.317943901258282</v>
      </c>
      <c r="AF22" s="1">
        <f t="shared" ca="1" si="17"/>
        <v>38.331400179398329</v>
      </c>
      <c r="AG22" s="1">
        <f t="shared" ca="1" si="17"/>
        <v>40.253879247441958</v>
      </c>
      <c r="AH22" s="1">
        <f t="shared" ca="1" si="17"/>
        <v>42.085854189759608</v>
      </c>
      <c r="AI22" s="1">
        <f t="shared" ca="1" si="17"/>
        <v>43.827497317488856</v>
      </c>
      <c r="AM22" s="42"/>
    </row>
    <row r="23" spans="1:39">
      <c r="A23" s="26" t="s">
        <v>49</v>
      </c>
      <c r="B23" s="29">
        <v>0.4</v>
      </c>
      <c r="C23" s="28">
        <f ca="1">spr</f>
        <v>0.39999190484589991</v>
      </c>
      <c r="J23" s="8" t="s">
        <v>24</v>
      </c>
      <c r="K23" s="1">
        <f t="shared" ref="K23:AI23" ca="1" si="18">wa*flt2_*(1-EXP(-za))/za</f>
        <v>4.1852239412688722E-4</v>
      </c>
      <c r="L23" s="1">
        <f t="shared" ca="1" si="18"/>
        <v>2.3021853841606734E-2</v>
      </c>
      <c r="M23" s="1">
        <f ca="1">wa*flt2_*(1-EXP(-za))/za</f>
        <v>0.39839846200232365</v>
      </c>
      <c r="N23" s="1">
        <f t="shared" ca="1" si="18"/>
        <v>1.2490755566520846</v>
      </c>
      <c r="O23" s="1">
        <f t="shared" ca="1" si="18"/>
        <v>2.0245645751307313</v>
      </c>
      <c r="P23" s="1">
        <f t="shared" ca="1" si="18"/>
        <v>2.8227956532613594</v>
      </c>
      <c r="Q23" s="1">
        <f t="shared" ca="1" si="18"/>
        <v>3.6438940671373223</v>
      </c>
      <c r="R23" s="1">
        <f t="shared" ca="1" si="18"/>
        <v>4.4483687796443672</v>
      </c>
      <c r="S23" s="1">
        <f t="shared" ca="1" si="18"/>
        <v>5.1837401419608398</v>
      </c>
      <c r="T23" s="1">
        <f t="shared" ca="1" si="18"/>
        <v>5.8197465288561316</v>
      </c>
      <c r="U23" s="1">
        <f t="shared" ca="1" si="18"/>
        <v>6.3705840044484825</v>
      </c>
      <c r="V23" s="1">
        <f t="shared" ca="1" si="18"/>
        <v>6.8025473189609134</v>
      </c>
      <c r="W23" s="1">
        <f t="shared" ca="1" si="18"/>
        <v>7.1109069508399774</v>
      </c>
      <c r="X23" s="1">
        <f t="shared" ca="1" si="18"/>
        <v>7.3274626794492486</v>
      </c>
      <c r="Y23" s="1">
        <f t="shared" ca="1" si="18"/>
        <v>7.4775448070103741</v>
      </c>
      <c r="Z23" s="1">
        <f t="shared" ca="1" si="18"/>
        <v>8.2344532813776805</v>
      </c>
      <c r="AA23" s="1">
        <f t="shared" ca="1" si="18"/>
        <v>8.990637800889191</v>
      </c>
      <c r="AB23" s="1">
        <f t="shared" ca="1" si="18"/>
        <v>9.7360694392202785</v>
      </c>
      <c r="AC23" s="1">
        <f t="shared" ca="1" si="18"/>
        <v>10.464004159362958</v>
      </c>
      <c r="AD23" s="1">
        <f t="shared" ca="1" si="18"/>
        <v>11.17001805130286</v>
      </c>
      <c r="AE23" s="1">
        <f t="shared" ca="1" si="18"/>
        <v>11.851158024170033</v>
      </c>
      <c r="AF23" s="1">
        <f t="shared" ca="1" si="18"/>
        <v>12.505445627030181</v>
      </c>
      <c r="AG23" s="1">
        <f t="shared" ca="1" si="18"/>
        <v>13.131601534778826</v>
      </c>
      <c r="AH23" s="1">
        <f t="shared" ca="1" si="18"/>
        <v>13.728881700177313</v>
      </c>
      <c r="AI23" s="1">
        <f t="shared" ca="1" si="18"/>
        <v>14.296967992302164</v>
      </c>
      <c r="AM23" s="42"/>
    </row>
    <row r="24" spans="1:39">
      <c r="A24" s="5"/>
      <c r="B24" s="25" t="s">
        <v>50</v>
      </c>
      <c r="C24" s="25">
        <f ca="1">CHOOSE(C34,SUMXMY2(B23,C23),SUMXMY2(B16,C16),1000000*SUMXMY2(B9,C9)+SUMXMY2(E5,F5))</f>
        <v>6.5539901050611643E-5</v>
      </c>
      <c r="J24" s="8" t="s">
        <v>25</v>
      </c>
      <c r="K24" s="1">
        <f t="shared" ref="K24:AI24" ca="1" si="19">wa*flt3_*(1-EXP(-za))/za</f>
        <v>1.6845127797050366E-6</v>
      </c>
      <c r="L24" s="1">
        <f t="shared" ca="1" si="19"/>
        <v>2.5702006969967693E-5</v>
      </c>
      <c r="M24" s="1">
        <f t="shared" ca="1" si="19"/>
        <v>2.3178889690199638E-4</v>
      </c>
      <c r="N24" s="1">
        <f t="shared" ca="1" si="19"/>
        <v>1.6017620817712923E-3</v>
      </c>
      <c r="O24" s="1">
        <f t="shared" ca="1" si="19"/>
        <v>9.1972802292292991E-3</v>
      </c>
      <c r="P24" s="1">
        <f t="shared" ca="1" si="19"/>
        <v>4.248101218463899E-2</v>
      </c>
      <c r="Q24" s="1">
        <f t="shared" ca="1" si="19"/>
        <v>0.14683116919520417</v>
      </c>
      <c r="R24" s="1">
        <f t="shared" ca="1" si="19"/>
        <v>0.59708118498884344</v>
      </c>
      <c r="S24" s="1">
        <f t="shared" ca="1" si="19"/>
        <v>3.577805403641944</v>
      </c>
      <c r="T24" s="1">
        <f t="shared" ca="1" si="19"/>
        <v>9.0298959923428583</v>
      </c>
      <c r="U24" s="1">
        <f t="shared" ca="1" si="19"/>
        <v>11.445343969541659</v>
      </c>
      <c r="V24" s="1">
        <f t="shared" ca="1" si="19"/>
        <v>12.28250709749665</v>
      </c>
      <c r="W24" s="1">
        <f t="shared" ca="1" si="19"/>
        <v>12.628602245140451</v>
      </c>
      <c r="X24" s="1">
        <f t="shared" ca="1" si="19"/>
        <v>12.754793575997351</v>
      </c>
      <c r="Y24" s="1">
        <f t="shared" ca="1" si="19"/>
        <v>12.749292308874731</v>
      </c>
      <c r="Z24" s="1">
        <f t="shared" ca="1" si="19"/>
        <v>14.03982919495612</v>
      </c>
      <c r="AA24" s="1">
        <f t="shared" ca="1" si="19"/>
        <v>15.32913173041665</v>
      </c>
      <c r="AB24" s="1">
        <f t="shared" ca="1" si="19"/>
        <v>16.600100490704985</v>
      </c>
      <c r="AC24" s="1">
        <f t="shared" ca="1" si="19"/>
        <v>17.841236822001466</v>
      </c>
      <c r="AD24" s="1">
        <f t="shared" ca="1" si="19"/>
        <v>19.044997911340484</v>
      </c>
      <c r="AE24" s="1">
        <f t="shared" ca="1" si="19"/>
        <v>20.206348707821309</v>
      </c>
      <c r="AF24" s="1">
        <f t="shared" ca="1" si="19"/>
        <v>21.321915931854051</v>
      </c>
      <c r="AG24" s="1">
        <f t="shared" ca="1" si="19"/>
        <v>22.389518320719976</v>
      </c>
      <c r="AH24" s="1">
        <f t="shared" ca="1" si="19"/>
        <v>23.40788726607477</v>
      </c>
      <c r="AI24" s="1">
        <f t="shared" ca="1" si="19"/>
        <v>24.376480351357831</v>
      </c>
      <c r="AM24" s="43"/>
    </row>
    <row r="25" spans="1:39">
      <c r="E25" t="s">
        <v>112</v>
      </c>
      <c r="J25" s="2" t="s">
        <v>29</v>
      </c>
      <c r="AM25" s="43"/>
    </row>
    <row r="26" spans="1:39">
      <c r="A26" s="12" t="s">
        <v>4</v>
      </c>
      <c r="B26" s="12"/>
      <c r="C26" s="12"/>
      <c r="E26" t="s">
        <v>113</v>
      </c>
      <c r="F26" t="s">
        <v>140</v>
      </c>
      <c r="J26" s="8" t="s">
        <v>30</v>
      </c>
      <c r="K26">
        <f ca="1">qa1_/wa</f>
        <v>2.6002682270743517E-6</v>
      </c>
      <c r="L26">
        <f t="shared" ref="L26:AI26" ca="1" si="20">qa1_/wa</f>
        <v>6.6644753131078231E-6</v>
      </c>
      <c r="M26">
        <f t="shared" ca="1" si="20"/>
        <v>1.699111018551812E-5</v>
      </c>
      <c r="N26">
        <f t="shared" ca="1" si="20"/>
        <v>4.3392309712398787E-5</v>
      </c>
      <c r="O26">
        <f t="shared" ca="1" si="20"/>
        <v>1.1132357019039167E-4</v>
      </c>
      <c r="P26">
        <f t="shared" ca="1" si="20"/>
        <v>2.8589594714448387E-4</v>
      </c>
      <c r="Q26">
        <f t="shared" ca="1" si="20"/>
        <v>7.471779626246173E-4</v>
      </c>
      <c r="R26">
        <f t="shared" ca="1" si="20"/>
        <v>2.359339802368248E-3</v>
      </c>
      <c r="S26">
        <f t="shared" ca="1" si="20"/>
        <v>1.3372073652847137E-2</v>
      </c>
      <c r="T26">
        <f t="shared" ca="1" si="20"/>
        <v>6.0317661338495927E-2</v>
      </c>
      <c r="U26">
        <f t="shared" ca="1" si="20"/>
        <v>0.15688003023660682</v>
      </c>
      <c r="V26">
        <f t="shared" ca="1" si="20"/>
        <v>0.31870162697424892</v>
      </c>
      <c r="W26">
        <f t="shared" ca="1" si="20"/>
        <v>0.5208785653106861</v>
      </c>
      <c r="X26">
        <f t="shared" ca="1" si="20"/>
        <v>0.69058138073432773</v>
      </c>
      <c r="Y26">
        <f t="shared" ca="1" si="20"/>
        <v>0.79118874373281123</v>
      </c>
      <c r="Z26">
        <f t="shared" ca="1" si="20"/>
        <v>0.83827556195175879</v>
      </c>
      <c r="AA26">
        <f t="shared" ca="1" si="20"/>
        <v>0.85817328846349406</v>
      </c>
      <c r="AB26">
        <f t="shared" ca="1" si="20"/>
        <v>0.86618152560838879</v>
      </c>
      <c r="AC26">
        <f t="shared" ca="1" si="20"/>
        <v>0.86933861860617112</v>
      </c>
      <c r="AD26">
        <f t="shared" ca="1" si="20"/>
        <v>0.87057059221917299</v>
      </c>
      <c r="AE26">
        <f t="shared" ca="1" si="20"/>
        <v>0.87104692760798053</v>
      </c>
      <c r="AF26">
        <f t="shared" ca="1" si="20"/>
        <v>0.87122793195225023</v>
      </c>
      <c r="AG26">
        <f t="shared" ca="1" si="20"/>
        <v>0.87129370269243589</v>
      </c>
      <c r="AH26">
        <f t="shared" ca="1" si="20"/>
        <v>0.8713145401885104</v>
      </c>
      <c r="AI26">
        <f t="shared" ca="1" si="20"/>
        <v>0.8713178611574649</v>
      </c>
      <c r="AM26" s="43"/>
    </row>
    <row r="27" spans="1:39">
      <c r="A27" t="s">
        <v>20</v>
      </c>
      <c r="B27" s="46">
        <v>1000000</v>
      </c>
      <c r="E27" s="41">
        <f ca="1">f1_/(F4/(f1_*365*re*phib))</f>
        <v>184.79059431017973</v>
      </c>
      <c r="F27" s="106">
        <f ca="1">F4/E27</f>
        <v>146.86759143539777</v>
      </c>
      <c r="J27" s="8" t="s">
        <v>31</v>
      </c>
      <c r="K27">
        <f t="shared" ref="K27:AI27" ca="1" si="21">qa2_/wa</f>
        <v>5.1931492884147645E-3</v>
      </c>
      <c r="L27">
        <f t="shared" ca="1" si="21"/>
        <v>6.6995330965021485E-2</v>
      </c>
      <c r="M27">
        <f t="shared" ca="1" si="21"/>
        <v>0.45656925034784346</v>
      </c>
      <c r="N27">
        <f t="shared" ca="1" si="21"/>
        <v>0.73032275984414452</v>
      </c>
      <c r="O27">
        <f t="shared" ca="1" si="21"/>
        <v>0.7054601522019418</v>
      </c>
      <c r="P27">
        <f t="shared" ca="1" si="21"/>
        <v>0.65005804515683929</v>
      </c>
      <c r="Q27">
        <f t="shared" ca="1" si="21"/>
        <v>0.59696522240478922</v>
      </c>
      <c r="R27">
        <f t="shared" ca="1" si="21"/>
        <v>0.54772337910696145</v>
      </c>
      <c r="S27">
        <f t="shared" ca="1" si="21"/>
        <v>0.50052454319433337</v>
      </c>
      <c r="T27">
        <f t="shared" ca="1" si="21"/>
        <v>0.45577346087189169</v>
      </c>
      <c r="U27">
        <f t="shared" ca="1" si="21"/>
        <v>0.41587024427643182</v>
      </c>
      <c r="V27">
        <f t="shared" ca="1" si="21"/>
        <v>0.37859482491758656</v>
      </c>
      <c r="W27">
        <f t="shared" ca="1" si="21"/>
        <v>0.34382899327386002</v>
      </c>
      <c r="X27">
        <f t="shared" ca="1" si="21"/>
        <v>0.31276437816000224</v>
      </c>
      <c r="Y27">
        <f t="shared" ca="1" si="21"/>
        <v>0.28562380304837109</v>
      </c>
      <c r="Z27">
        <f t="shared" ca="1" si="21"/>
        <v>0.28480683108977761</v>
      </c>
      <c r="AA27">
        <f t="shared" ca="1" si="21"/>
        <v>0.28446112866670842</v>
      </c>
      <c r="AB27">
        <f t="shared" ca="1" si="21"/>
        <v>0.28432191462144851</v>
      </c>
      <c r="AC27">
        <f t="shared" ca="1" si="21"/>
        <v>0.28426701965283768</v>
      </c>
      <c r="AD27">
        <f t="shared" ca="1" si="21"/>
        <v>0.2842455963944005</v>
      </c>
      <c r="AE27">
        <f t="shared" ca="1" si="21"/>
        <v>0.28423731292762755</v>
      </c>
      <c r="AF27">
        <f t="shared" ca="1" si="21"/>
        <v>0.28423416522192457</v>
      </c>
      <c r="AG27">
        <f t="shared" ca="1" si="21"/>
        <v>0.28423302144839113</v>
      </c>
      <c r="AH27">
        <f t="shared" ca="1" si="21"/>
        <v>0.28423265907724177</v>
      </c>
      <c r="AI27">
        <f t="shared" ca="1" si="21"/>
        <v>0.28423260132443279</v>
      </c>
    </row>
    <row r="28" spans="1:39">
      <c r="A28" t="s">
        <v>21</v>
      </c>
      <c r="B28">
        <v>12</v>
      </c>
      <c r="E28" s="41">
        <f ca="1">f2_/(F5/(f2_*365*re*phib))</f>
        <v>43.428136236271975</v>
      </c>
      <c r="F28" s="106">
        <f t="shared" ref="F28:F29" ca="1" si="22">F5/E28</f>
        <v>214.49227887130328</v>
      </c>
      <c r="J28" s="8" t="s">
        <v>32</v>
      </c>
      <c r="K28">
        <f t="shared" ref="K28:AI28" ca="1" si="23">qa3_/wa</f>
        <v>2.0901931332731979E-5</v>
      </c>
      <c r="L28">
        <f t="shared" ca="1" si="23"/>
        <v>7.4794778703108101E-5</v>
      </c>
      <c r="M28">
        <f t="shared" ca="1" si="23"/>
        <v>2.6563275963871773E-4</v>
      </c>
      <c r="N28">
        <f t="shared" ca="1" si="23"/>
        <v>9.365352623730411E-4</v>
      </c>
      <c r="O28">
        <f t="shared" ca="1" si="23"/>
        <v>3.2047951396843169E-3</v>
      </c>
      <c r="P28">
        <f t="shared" ca="1" si="23"/>
        <v>9.7828986328233666E-3</v>
      </c>
      <c r="Q28">
        <f t="shared" ca="1" si="23"/>
        <v>2.4054788629854818E-2</v>
      </c>
      <c r="R28">
        <f t="shared" ca="1" si="23"/>
        <v>7.3518033338374325E-2</v>
      </c>
      <c r="S28">
        <f t="shared" ca="1" si="23"/>
        <v>0.3454608769448671</v>
      </c>
      <c r="T28">
        <f t="shared" ca="1" si="23"/>
        <v>0.70717632242864126</v>
      </c>
      <c r="U28">
        <f t="shared" ca="1" si="23"/>
        <v>0.74714939621193199</v>
      </c>
      <c r="V28">
        <f t="shared" ca="1" si="23"/>
        <v>0.6835812242223489</v>
      </c>
      <c r="W28">
        <f t="shared" ca="1" si="23"/>
        <v>0.61062247423863991</v>
      </c>
      <c r="X28">
        <f t="shared" ca="1" si="23"/>
        <v>0.54442380068946938</v>
      </c>
      <c r="Y28">
        <f t="shared" ca="1" si="23"/>
        <v>0.4869915793780541</v>
      </c>
      <c r="Z28">
        <f t="shared" ca="1" si="23"/>
        <v>0.48559863362151429</v>
      </c>
      <c r="AA28">
        <f t="shared" ca="1" si="23"/>
        <v>0.48500920736498893</v>
      </c>
      <c r="AB28">
        <f t="shared" ca="1" si="23"/>
        <v>0.48477184595795936</v>
      </c>
      <c r="AC28">
        <f t="shared" ca="1" si="23"/>
        <v>0.48467824946082427</v>
      </c>
      <c r="AD28">
        <f t="shared" ca="1" si="23"/>
        <v>0.48464172258053489</v>
      </c>
      <c r="AE28">
        <f t="shared" ca="1" si="23"/>
        <v>0.48462759918282272</v>
      </c>
      <c r="AF28">
        <f t="shared" ca="1" si="23"/>
        <v>0.48462223231159107</v>
      </c>
      <c r="AG28">
        <f t="shared" ca="1" si="23"/>
        <v>0.48462028216572234</v>
      </c>
      <c r="AH28">
        <f t="shared" ca="1" si="23"/>
        <v>0.48461966431911274</v>
      </c>
      <c r="AI28">
        <f t="shared" ca="1" si="23"/>
        <v>0.48461956584996774</v>
      </c>
    </row>
    <row r="29" spans="1:39">
      <c r="A29" t="s">
        <v>5</v>
      </c>
      <c r="B29">
        <v>0.15</v>
      </c>
      <c r="E29" s="41">
        <f ca="1">f3_/(F6/(f3_*365*re*phib))</f>
        <v>43.665847531190167</v>
      </c>
      <c r="F29" s="106">
        <f t="shared" ca="1" si="22"/>
        <v>194.71715966452692</v>
      </c>
    </row>
    <row r="30" spans="1:39">
      <c r="A30" t="s">
        <v>42</v>
      </c>
      <c r="B30" s="1">
        <f>Bo/phie</f>
        <v>23275.156653616632</v>
      </c>
      <c r="G30" t="s">
        <v>58</v>
      </c>
      <c r="H30" t="s">
        <v>59</v>
      </c>
      <c r="J30" s="2" t="s">
        <v>51</v>
      </c>
    </row>
    <row r="31" spans="1:39">
      <c r="A31" t="s">
        <v>79</v>
      </c>
      <c r="B31" s="30">
        <f>SAA!linf</f>
        <v>150.8458480206651</v>
      </c>
      <c r="G31">
        <f ca="1">SUMPRODUCT(dlz1_,wa,ma)</f>
        <v>-58.693130903677037</v>
      </c>
      <c r="H31">
        <f ca="1">Ro/(reck-1)*phie/phif^2*dphif</f>
        <v>-18066.640928248838</v>
      </c>
      <c r="J31" s="8" t="s">
        <v>52</v>
      </c>
      <c r="K31">
        <v>0</v>
      </c>
      <c r="L31">
        <f ca="1">K31*K$10-K$7*K18*K$10</f>
        <v>-2.4099122353170813E-6</v>
      </c>
      <c r="M31">
        <f t="shared" ref="M31:AB31" ca="1" si="24">L31*L$10-L$7*L18*L$10</f>
        <v>-7.3795727577975863E-6</v>
      </c>
      <c r="N31">
        <f t="shared" ca="1" si="24"/>
        <v>-1.7807927495329435E-5</v>
      </c>
      <c r="O31">
        <f t="shared" ca="1" si="24"/>
        <v>-3.9859218332894108E-5</v>
      </c>
      <c r="P31">
        <f t="shared" ca="1" si="24"/>
        <v>-8.7206192589530307E-5</v>
      </c>
      <c r="Q31">
        <f t="shared" ca="1" si="24"/>
        <v>-1.8948856319529593E-4</v>
      </c>
      <c r="R31">
        <f t="shared" ca="1" si="24"/>
        <v>-4.1538475480857977E-4</v>
      </c>
      <c r="S31">
        <f t="shared" ca="1" si="24"/>
        <v>-1.0308061825899922E-3</v>
      </c>
      <c r="T31">
        <f t="shared" ca="1" si="24"/>
        <v>-4.1002767241494313E-3</v>
      </c>
      <c r="U31">
        <f t="shared" ca="1" si="24"/>
        <v>-1.5490313441637619E-2</v>
      </c>
      <c r="V31">
        <f t="shared" ca="1" si="24"/>
        <v>-3.8386240825698262E-2</v>
      </c>
      <c r="W31">
        <f t="shared" ca="1" si="24"/>
        <v>-7.298635914521906E-2</v>
      </c>
      <c r="X31">
        <f t="shared" ca="1" si="24"/>
        <v>-0.11186473698395694</v>
      </c>
      <c r="Y31">
        <f t="shared" ca="1" si="24"/>
        <v>-0.14234990081007418</v>
      </c>
      <c r="Z31">
        <f t="shared" ca="1" si="24"/>
        <v>-0.1578131812003013</v>
      </c>
      <c r="AA31">
        <f t="shared" ca="1" si="24"/>
        <v>-0.15924001539394533</v>
      </c>
      <c r="AB31">
        <f t="shared" ca="1" si="24"/>
        <v>-0.15105095877220998</v>
      </c>
      <c r="AC31">
        <f t="shared" ref="AB31:AH33" ca="1" si="25">AB31*AB$10-AB$7*AB18*AB$10</f>
        <v>-0.13743105875339051</v>
      </c>
      <c r="AD31">
        <f t="shared" ca="1" si="25"/>
        <v>-0.12142162410892988</v>
      </c>
      <c r="AE31">
        <f t="shared" ca="1" si="25"/>
        <v>-0.10498861820651979</v>
      </c>
      <c r="AF31">
        <f t="shared" ca="1" si="25"/>
        <v>-8.9299822187322825E-2</v>
      </c>
      <c r="AG31">
        <f t="shared" ca="1" si="25"/>
        <v>-7.4980513741220889E-2</v>
      </c>
      <c r="AH31">
        <f t="shared" ca="1" si="25"/>
        <v>-6.2305041668852451E-2</v>
      </c>
      <c r="AI31">
        <f ca="1">(AH31*sa-AH$7*AH18*AH$10)/oa-AH$7*AH$10*flt1_*sa/oa^2</f>
        <v>-0.26299443459744559</v>
      </c>
    </row>
    <row r="32" spans="1:39">
      <c r="A32" t="s">
        <v>80</v>
      </c>
      <c r="B32" s="30">
        <f>SAA!B3</f>
        <v>7.9515419810206461E-2</v>
      </c>
      <c r="G32">
        <f ca="1">SUMPRODUCT(dlz2_,wa,ma)</f>
        <v>-118.81294659008931</v>
      </c>
      <c r="H32">
        <f ca="1">Ro/(reck-1)*phie/phif^2*dphif</f>
        <v>-36572.437193597936</v>
      </c>
      <c r="J32" s="8" t="s">
        <v>53</v>
      </c>
      <c r="K32">
        <v>0</v>
      </c>
      <c r="L32">
        <f t="shared" ref="L32:AA33" ca="1" si="26">K32*K$10-K$7*K19*K$10</f>
        <v>-4.8129780919024716E-3</v>
      </c>
      <c r="M32">
        <f t="shared" ca="1" si="26"/>
        <v>-5.7511485350284781E-2</v>
      </c>
      <c r="N32">
        <f t="shared" ca="1" si="26"/>
        <v>-0.35914088153719692</v>
      </c>
      <c r="O32">
        <f t="shared" ca="1" si="26"/>
        <v>-0.72078784370421323</v>
      </c>
      <c r="P32">
        <f t="shared" ca="1" si="26"/>
        <v>-0.94633287835207969</v>
      </c>
      <c r="Q32">
        <f t="shared" ca="1" si="26"/>
        <v>-1.0608919167311217</v>
      </c>
      <c r="R32">
        <f t="shared" ca="1" si="26"/>
        <v>-1.0988589669919622</v>
      </c>
      <c r="S32">
        <f t="shared" ca="1" si="26"/>
        <v>-1.0845461811321626</v>
      </c>
      <c r="T32">
        <f t="shared" ca="1" si="26"/>
        <v>-1.0280602650265942</v>
      </c>
      <c r="U32">
        <f t="shared" ca="1" si="26"/>
        <v>-0.93774878932647276</v>
      </c>
      <c r="V32">
        <f t="shared" ca="1" si="26"/>
        <v>-0.83135197438370456</v>
      </c>
      <c r="W32">
        <f t="shared" ca="1" si="26"/>
        <v>-0.7156913007882062</v>
      </c>
      <c r="X32">
        <f t="shared" ca="1" si="26"/>
        <v>-0.59687256232836805</v>
      </c>
      <c r="Y32">
        <f t="shared" ca="1" si="26"/>
        <v>-0.48479125641899662</v>
      </c>
      <c r="Z32">
        <f t="shared" ca="1" si="26"/>
        <v>-0.38719778337319266</v>
      </c>
      <c r="AA32">
        <f t="shared" ca="1" si="26"/>
        <v>-0.30674903073146415</v>
      </c>
      <c r="AB32">
        <f t="shared" ca="1" si="25"/>
        <v>-0.24192792638226782</v>
      </c>
      <c r="AC32">
        <f t="shared" ca="1" si="25"/>
        <v>-0.19027031494127458</v>
      </c>
      <c r="AD32">
        <f t="shared" ca="1" si="25"/>
        <v>-0.14933773943920092</v>
      </c>
      <c r="AE32">
        <f t="shared" ca="1" si="25"/>
        <v>-0.11701541681890147</v>
      </c>
      <c r="AF32">
        <f t="shared" ca="1" si="25"/>
        <v>-9.1554967782824376E-2</v>
      </c>
      <c r="AG32">
        <f t="shared" ca="1" si="25"/>
        <v>-7.1539454287671514E-2</v>
      </c>
      <c r="AH32">
        <f t="shared" ca="1" si="25"/>
        <v>-5.5831501074939602E-2</v>
      </c>
      <c r="AI32">
        <f ca="1">(AH32*sa-AH$7*AH19*AH$10)/oa-AH$7*AH$10*flt2_*sa/oa^2</f>
        <v>-0.19472704676193531</v>
      </c>
    </row>
    <row r="33" spans="1:35">
      <c r="A33" t="s">
        <v>124</v>
      </c>
      <c r="B33" s="30">
        <f>[0]!to</f>
        <v>0.59695167544184935</v>
      </c>
      <c r="D33" s="60"/>
      <c r="E33" s="60"/>
      <c r="G33">
        <f ca="1">SUMPRODUCT(dlz3_,wa,ma)</f>
        <v>-76.422077026158689</v>
      </c>
      <c r="H33">
        <f ca="1">Ro/(reck-1)*phie/phif^2*dphif</f>
        <v>-23523.880961274219</v>
      </c>
      <c r="J33" s="8" t="s">
        <v>54</v>
      </c>
      <c r="K33">
        <v>0</v>
      </c>
      <c r="L33">
        <f t="shared" ca="1" si="26"/>
        <v>-1.9371778471170753E-5</v>
      </c>
      <c r="M33">
        <f t="shared" ca="1" si="26"/>
        <v>-7.6229194025019214E-5</v>
      </c>
      <c r="N33">
        <f t="shared" ca="1" si="26"/>
        <v>-2.4521408016411704E-4</v>
      </c>
      <c r="O33">
        <f t="shared" ca="1" si="26"/>
        <v>-7.4337112613047395E-4</v>
      </c>
      <c r="P33">
        <f t="shared" ca="1" si="26"/>
        <v>-2.170696339832294E-3</v>
      </c>
      <c r="Q33">
        <f t="shared" ca="1" si="26"/>
        <v>-5.79894362750988E-3</v>
      </c>
      <c r="R33">
        <f t="shared" ca="1" si="26"/>
        <v>-1.3118730222817312E-2</v>
      </c>
      <c r="S33">
        <f t="shared" ca="1" si="26"/>
        <v>-3.2268057796255557E-2</v>
      </c>
      <c r="T33">
        <f t="shared" ca="1" si="26"/>
        <v>-0.11064258378481132</v>
      </c>
      <c r="U33">
        <f t="shared" ca="1" si="26"/>
        <v>-0.23311337117956221</v>
      </c>
      <c r="V33">
        <f t="shared" ca="1" si="26"/>
        <v>-0.31246453655009349</v>
      </c>
      <c r="W33">
        <f t="shared" ca="1" si="26"/>
        <v>-0.34076551037508906</v>
      </c>
      <c r="X33">
        <f t="shared" ca="1" si="26"/>
        <v>-0.33110388640076982</v>
      </c>
      <c r="Y33">
        <f t="shared" ca="1" si="26"/>
        <v>-0.29915104981107027</v>
      </c>
      <c r="Z33">
        <f t="shared" ca="1" si="26"/>
        <v>-0.25831163072912133</v>
      </c>
      <c r="AA33">
        <f t="shared" ca="1" si="26"/>
        <v>-0.21864640876770514</v>
      </c>
      <c r="AB33">
        <f t="shared" ca="1" si="25"/>
        <v>-0.18255727087810802</v>
      </c>
      <c r="AC33">
        <f t="shared" ca="1" si="25"/>
        <v>-0.15088827226562365</v>
      </c>
      <c r="AD33">
        <f t="shared" ca="1" si="25"/>
        <v>-0.12372048148118256</v>
      </c>
      <c r="AE33">
        <f t="shared" ca="1" si="25"/>
        <v>-0.10077951142377028</v>
      </c>
      <c r="AF33">
        <f t="shared" ca="1" si="25"/>
        <v>-8.1637201766915288E-2</v>
      </c>
      <c r="AG33">
        <f t="shared" ca="1" si="25"/>
        <v>-6.5814924330471689E-2</v>
      </c>
      <c r="AH33">
        <f t="shared" ca="1" si="25"/>
        <v>-5.2838003605165752E-2</v>
      </c>
      <c r="AI33">
        <f ca="1">(AH33*sa-AH$7*AH20*AH$10)/oa-AH$7*AH$10*flt3_*sa/oa^2</f>
        <v>-0.20206536746697135</v>
      </c>
    </row>
    <row r="34" spans="1:35">
      <c r="A34" s="39"/>
      <c r="B34" s="39" t="s">
        <v>96</v>
      </c>
      <c r="C34" s="39">
        <v>3</v>
      </c>
      <c r="G34" t="s">
        <v>57</v>
      </c>
      <c r="J34" s="8"/>
    </row>
    <row r="35" spans="1:35">
      <c r="A35" s="13" t="s">
        <v>13</v>
      </c>
      <c r="B35" s="13"/>
      <c r="C35" s="13"/>
      <c r="F35" s="36"/>
      <c r="G35" s="1">
        <f ca="1">SUM(dqa11_)</f>
        <v>381.56701143069807</v>
      </c>
      <c r="H35" s="1">
        <f ca="1">SUM(dqa12_)</f>
        <v>384.46162975738559</v>
      </c>
      <c r="I35" s="10">
        <f ca="1">SUM(dqa13_)</f>
        <v>382.92957371846552</v>
      </c>
      <c r="J35" s="8" t="s">
        <v>62</v>
      </c>
      <c r="K35">
        <f ca="1">dlz1_*qa1_+lz*wa*flt1_^2/za*(sa-oa/za)</f>
        <v>-2.8608252854561238E-13</v>
      </c>
      <c r="L35">
        <f t="shared" ref="L35:AI35" ca="1" si="27">flt1_*qa1_+lz*wa*flt1_^2/za*(sa-oa/za)</f>
        <v>9.5532844810076581E-12</v>
      </c>
      <c r="M35">
        <f t="shared" ca="1" si="27"/>
        <v>1.7505644561303601E-10</v>
      </c>
      <c r="N35">
        <f t="shared" ca="1" si="27"/>
        <v>2.441121653456232E-9</v>
      </c>
      <c r="O35">
        <f t="shared" ca="1" si="27"/>
        <v>2.8831817030446561E-8</v>
      </c>
      <c r="P35">
        <f t="shared" ca="1" si="27"/>
        <v>3.0319452153588645E-7</v>
      </c>
      <c r="Q35">
        <f t="shared" ca="1" si="27"/>
        <v>3.0348371183632551E-6</v>
      </c>
      <c r="R35">
        <f t="shared" ca="1" si="27"/>
        <v>4.1660290116557796E-5</v>
      </c>
      <c r="S35">
        <f t="shared" ca="1" si="27"/>
        <v>1.7623356750681351E-3</v>
      </c>
      <c r="T35">
        <f t="shared" ca="1" si="27"/>
        <v>4.5640210948373894E-2</v>
      </c>
      <c r="U35">
        <f t="shared" ca="1" si="27"/>
        <v>0.3804541640437909</v>
      </c>
      <c r="V35">
        <f t="shared" ca="1" si="27"/>
        <v>1.8900449506421371</v>
      </c>
      <c r="W35">
        <f t="shared" ca="1" si="27"/>
        <v>5.9627361658391598</v>
      </c>
      <c r="X35">
        <f t="shared" ca="1" si="27"/>
        <v>12.134588441481048</v>
      </c>
      <c r="Y35">
        <f t="shared" ca="1" si="27"/>
        <v>18.076192185272152</v>
      </c>
      <c r="Z35">
        <f t="shared" ca="1" si="27"/>
        <v>22.664383494146247</v>
      </c>
      <c r="AA35">
        <f t="shared" ca="1" si="27"/>
        <v>26.166365398698275</v>
      </c>
      <c r="AB35">
        <f t="shared" ca="1" si="27"/>
        <v>29.037665269013189</v>
      </c>
      <c r="AC35">
        <f t="shared" ca="1" si="27"/>
        <v>31.565436604153629</v>
      </c>
      <c r="AD35">
        <f t="shared" ca="1" si="27"/>
        <v>33.890201479199341</v>
      </c>
      <c r="AE35">
        <f t="shared" ca="1" si="27"/>
        <v>36.073899407391963</v>
      </c>
      <c r="AF35">
        <f t="shared" ca="1" si="27"/>
        <v>38.142396805314874</v>
      </c>
      <c r="AG35">
        <f t="shared" ca="1" si="27"/>
        <v>40.106298184790873</v>
      </c>
      <c r="AH35">
        <f t="shared" ca="1" si="27"/>
        <v>41.970239719893485</v>
      </c>
      <c r="AI35">
        <f t="shared" ca="1" si="27"/>
        <v>43.458661584415417</v>
      </c>
    </row>
    <row r="36" spans="1:35">
      <c r="A36" t="s">
        <v>14</v>
      </c>
      <c r="B36" s="27">
        <f ca="1">fbar*C36+hh</f>
        <v>0.10621185732708999</v>
      </c>
      <c r="C36" s="35">
        <f ca="1">CHOOSE(C$34,E36,E39,F39,1)</f>
        <v>1.9278986040451342</v>
      </c>
      <c r="E36" s="37">
        <f ca="1">C45/AVERAGE(C$45:C$47)</f>
        <v>1.9324218582923494</v>
      </c>
      <c r="G36" s="1">
        <f ca="1">SUM(dqa21_)</f>
        <v>384.46162975738559</v>
      </c>
      <c r="H36" s="1">
        <f ca="1">SUM(dqa22_)</f>
        <v>62.453057078927536</v>
      </c>
      <c r="I36" s="10">
        <f ca="1">SUM(dqa23_)</f>
        <v>383.70645896134261</v>
      </c>
      <c r="J36" s="8" t="s">
        <v>63</v>
      </c>
      <c r="K36">
        <f ca="1">dlz2_*qa2_+lz*wa*flt2_^2/za*(sa-oa/za)</f>
        <v>-1.1410814676454723E-6</v>
      </c>
      <c r="L36">
        <f t="shared" ref="L36:AI36" ca="1" si="28">flt2_*qa2_+lz*wa*flt2_^2/za*(sa-oa/za)</f>
        <v>9.6540569680625041E-4</v>
      </c>
      <c r="M36">
        <f t="shared" ca="1" si="28"/>
        <v>0.12640024364026678</v>
      </c>
      <c r="N36">
        <f t="shared" ca="1" si="28"/>
        <v>0.69150218745231506</v>
      </c>
      <c r="O36">
        <f t="shared" ca="1" si="28"/>
        <v>1.1578245047370825</v>
      </c>
      <c r="P36">
        <f t="shared" ca="1" si="28"/>
        <v>1.5675074984320547</v>
      </c>
      <c r="Q36">
        <f t="shared" ca="1" si="28"/>
        <v>1.9372485330772393</v>
      </c>
      <c r="R36">
        <f t="shared" ca="1" si="28"/>
        <v>2.2452456253676605</v>
      </c>
      <c r="S36">
        <f t="shared" ca="1" si="28"/>
        <v>2.4691181315165718</v>
      </c>
      <c r="T36">
        <f t="shared" ca="1" si="28"/>
        <v>2.6058938459937315</v>
      </c>
      <c r="U36">
        <f t="shared" ca="1" si="28"/>
        <v>2.6735155105977939</v>
      </c>
      <c r="V36">
        <f t="shared" ca="1" si="28"/>
        <v>2.6671836385484422</v>
      </c>
      <c r="W36">
        <f t="shared" ca="1" si="28"/>
        <v>2.5981104666165935</v>
      </c>
      <c r="X36">
        <f t="shared" ca="1" si="28"/>
        <v>2.4890286144008171</v>
      </c>
      <c r="Y36">
        <f t="shared" ca="1" si="28"/>
        <v>2.3557844194052113</v>
      </c>
      <c r="Z36">
        <f t="shared" ca="1" si="28"/>
        <v>2.6162009705758007</v>
      </c>
      <c r="AA36">
        <f t="shared" ca="1" si="28"/>
        <v>2.8750094361928142</v>
      </c>
      <c r="AB36">
        <f t="shared" ca="1" si="28"/>
        <v>3.1287043888011796</v>
      </c>
      <c r="AC36">
        <f t="shared" ca="1" si="28"/>
        <v>3.3751012656549997</v>
      </c>
      <c r="AD36">
        <f t="shared" ca="1" si="28"/>
        <v>3.6128809894682261</v>
      </c>
      <c r="AE36">
        <f t="shared" ca="1" si="28"/>
        <v>3.8412463548081561</v>
      </c>
      <c r="AF36">
        <f t="shared" ca="1" si="28"/>
        <v>4.0597281898564166</v>
      </c>
      <c r="AG36">
        <f t="shared" ca="1" si="28"/>
        <v>4.2680794138835667</v>
      </c>
      <c r="AH36">
        <f t="shared" ca="1" si="28"/>
        <v>4.4662135305157467</v>
      </c>
      <c r="AI36">
        <f t="shared" ca="1" si="28"/>
        <v>4.6245650547695218</v>
      </c>
    </row>
    <row r="37" spans="1:35">
      <c r="A37" t="s">
        <v>15</v>
      </c>
      <c r="B37" s="27">
        <f ca="1">fbar*C37</f>
        <v>3.0165267306018179E-2</v>
      </c>
      <c r="C37" s="35">
        <f t="shared" ref="C37:C38" ca="1" si="29">CHOOSE(C$34,E37,E40,F40,1)</f>
        <v>0.54754832220987726</v>
      </c>
      <c r="E37" s="37">
        <f ca="1">C46/AVERAGE(C$45:C$47)</f>
        <v>0.59229748453979147</v>
      </c>
      <c r="G37" s="1">
        <f ca="1">SUM(dqa31_)</f>
        <v>382.92957371846552</v>
      </c>
      <c r="H37" s="1">
        <f ca="1">SUM(dqa32_)</f>
        <v>383.70645896134261</v>
      </c>
      <c r="I37" s="1">
        <f ca="1">SUM(dqa33_)</f>
        <v>154.57973142603581</v>
      </c>
      <c r="J37" s="8" t="s">
        <v>64</v>
      </c>
      <c r="K37">
        <f ca="1">dlz3_*qa3_+lz*wa*flt3_^2/za*(sa-oa/za)</f>
        <v>-1.8485358190499764E-11</v>
      </c>
      <c r="L37">
        <f t="shared" ref="L37:AI37" ca="1" si="30">flt3_*qa3_+lz*wa*flt3_^2/za*(sa-oa/za)</f>
        <v>1.2032707134993286E-9</v>
      </c>
      <c r="M37">
        <f t="shared" ca="1" si="30"/>
        <v>4.2785623185605041E-8</v>
      </c>
      <c r="N37">
        <f t="shared" ca="1" si="30"/>
        <v>1.1371353376183926E-6</v>
      </c>
      <c r="O37">
        <f t="shared" ca="1" si="30"/>
        <v>2.3894519855900764E-5</v>
      </c>
      <c r="P37">
        <f t="shared" ca="1" si="30"/>
        <v>3.5500989580524258E-4</v>
      </c>
      <c r="Q37">
        <f t="shared" ca="1" si="30"/>
        <v>3.1455049201389151E-3</v>
      </c>
      <c r="R37">
        <f t="shared" ca="1" si="30"/>
        <v>4.0450981421283019E-2</v>
      </c>
      <c r="S37">
        <f t="shared" ca="1" si="30"/>
        <v>1.1762207998162859</v>
      </c>
      <c r="T37">
        <f t="shared" ca="1" si="30"/>
        <v>6.273560297339781</v>
      </c>
      <c r="U37">
        <f t="shared" ca="1" si="30"/>
        <v>8.6294260758804455</v>
      </c>
      <c r="V37">
        <f t="shared" ca="1" si="30"/>
        <v>8.6952850369699046</v>
      </c>
      <c r="W37">
        <f t="shared" ca="1" si="30"/>
        <v>8.194419449828505</v>
      </c>
      <c r="X37">
        <f t="shared" ca="1" si="30"/>
        <v>7.5417047776991133</v>
      </c>
      <c r="Y37">
        <f t="shared" ca="1" si="30"/>
        <v>6.8484084421153879</v>
      </c>
      <c r="Z37">
        <f t="shared" ca="1" si="30"/>
        <v>7.6054551789952969</v>
      </c>
      <c r="AA37">
        <f t="shared" ca="1" si="30"/>
        <v>8.3578271134654205</v>
      </c>
      <c r="AB37">
        <f t="shared" ca="1" si="30"/>
        <v>9.0953337549279105</v>
      </c>
      <c r="AC37">
        <f t="shared" ca="1" si="30"/>
        <v>9.8116244467487697</v>
      </c>
      <c r="AD37">
        <f t="shared" ca="1" si="30"/>
        <v>10.502864551111763</v>
      </c>
      <c r="AE37">
        <f t="shared" ca="1" si="30"/>
        <v>11.166736543386675</v>
      </c>
      <c r="AF37">
        <f t="shared" ca="1" si="30"/>
        <v>11.801876512591136</v>
      </c>
      <c r="AG37">
        <f t="shared" ca="1" si="30"/>
        <v>12.407566180032294</v>
      </c>
      <c r="AH37">
        <f t="shared" ca="1" si="30"/>
        <v>12.983554095495922</v>
      </c>
      <c r="AI37">
        <f t="shared" ca="1" si="30"/>
        <v>13.44389159776839</v>
      </c>
    </row>
    <row r="38" spans="1:35">
      <c r="A38" t="s">
        <v>19</v>
      </c>
      <c r="B38" s="27">
        <f ca="1">fbar*C38</f>
        <v>2.8898424200898037E-2</v>
      </c>
      <c r="C38" s="35">
        <f t="shared" ca="1" si="29"/>
        <v>0.52455307374498805</v>
      </c>
      <c r="E38" s="37">
        <f ca="1">C47/AVERAGE(C$45:C$47)</f>
        <v>0.475280657167859</v>
      </c>
      <c r="G38" t="s">
        <v>69</v>
      </c>
      <c r="J38" s="8" t="s">
        <v>60</v>
      </c>
      <c r="K38">
        <f ca="1">flt1_*qa1_+lz*wa*flt2_*flt1_/za*(sa-oa/za)</f>
        <v>-5.7076547090814502E-10</v>
      </c>
      <c r="L38">
        <f t="shared" ref="L38:AI38" ca="1" si="31">flt1_*qa1_+lz*wa*flt2_*flt1_/za*(sa-oa/za)</f>
        <v>-6.9347242035409124E-8</v>
      </c>
      <c r="M38">
        <f t="shared" ca="1" si="31"/>
        <v>-2.6386390976319025E-6</v>
      </c>
      <c r="N38">
        <f t="shared" ca="1" si="31"/>
        <v>-1.7964167055512635E-5</v>
      </c>
      <c r="O38">
        <f t="shared" ca="1" si="31"/>
        <v>-6.2727172344751085E-5</v>
      </c>
      <c r="P38">
        <f t="shared" ca="1" si="31"/>
        <v>-1.8850562994782722E-4</v>
      </c>
      <c r="Q38">
        <f t="shared" ca="1" si="31"/>
        <v>-5.3281165223990966E-4</v>
      </c>
      <c r="R38">
        <f t="shared" ca="1" si="31"/>
        <v>-1.6949898383323424E-3</v>
      </c>
      <c r="S38">
        <f t="shared" ca="1" si="31"/>
        <v>-7.7164035426584496E-3</v>
      </c>
      <c r="T38">
        <f t="shared" ca="1" si="31"/>
        <v>9.6828281911429462E-3</v>
      </c>
      <c r="U38">
        <f t="shared" ca="1" si="31"/>
        <v>0.31975546204667654</v>
      </c>
      <c r="V38">
        <f t="shared" ca="1" si="31"/>
        <v>1.8626922042226355</v>
      </c>
      <c r="W38">
        <f t="shared" ca="1" si="31"/>
        <v>6.0853026073895862</v>
      </c>
      <c r="X38">
        <f t="shared" ca="1" si="31"/>
        <v>12.444084336733582</v>
      </c>
      <c r="Y38">
        <f t="shared" ca="1" si="31"/>
        <v>18.4854280436839</v>
      </c>
      <c r="Z38">
        <f t="shared" ca="1" si="31"/>
        <v>23.064537556432089</v>
      </c>
      <c r="AA38">
        <f t="shared" ca="1" si="31"/>
        <v>26.518207475399123</v>
      </c>
      <c r="AB38">
        <f t="shared" ca="1" si="31"/>
        <v>29.332550832695155</v>
      </c>
      <c r="AC38">
        <f t="shared" ca="1" si="31"/>
        <v>31.806891837732039</v>
      </c>
      <c r="AD38">
        <f t="shared" ca="1" si="31"/>
        <v>34.085354590310544</v>
      </c>
      <c r="AE38">
        <f t="shared" ca="1" si="31"/>
        <v>36.230291842025444</v>
      </c>
      <c r="AF38">
        <f t="shared" ca="1" si="31"/>
        <v>38.26692801859911</v>
      </c>
      <c r="AG38">
        <f t="shared" ca="1" si="31"/>
        <v>40.204940106532831</v>
      </c>
      <c r="AH38">
        <f t="shared" ca="1" si="31"/>
        <v>42.048022226378649</v>
      </c>
      <c r="AI38">
        <f t="shared" ca="1" si="31"/>
        <v>43.707175899572768</v>
      </c>
    </row>
    <row r="39" spans="1:35">
      <c r="A39" t="s">
        <v>94</v>
      </c>
      <c r="B39" s="27">
        <v>5.5091516278002073E-2</v>
      </c>
      <c r="C39" s="35">
        <f ca="1">AVERAGE(C36:C38)</f>
        <v>0.99999999999999989</v>
      </c>
      <c r="D39" s="20"/>
      <c r="E39" s="38">
        <f ca="1">C48/AVERAGE(C$48:C$50)</f>
        <v>1.9293998572461055</v>
      </c>
      <c r="F39">
        <f ca="1">E48/AVERAGE($E$48:$E$50)</f>
        <v>1.9278986040451342</v>
      </c>
      <c r="G39" s="1">
        <f ca="1">re*phi_q1+f1_*phi_q1*$H31+f1_*re*G35</f>
        <v>1045770.5576277494</v>
      </c>
      <c r="H39" s="1">
        <f ca="1">0*re*phi_q1+f1_*phi_q1*$H32+f1_*re*H35</f>
        <v>771440.09835030173</v>
      </c>
      <c r="I39" s="1">
        <f ca="1">0*re*phi_q1+f1_*phi_q1*$H33+f1_*re*I35</f>
        <v>785786.79968217155</v>
      </c>
      <c r="J39" s="8" t="s">
        <v>66</v>
      </c>
      <c r="K39">
        <f t="shared" ref="K39:AI39" ca="1" si="32">flt1_*qa1_+lz*wa*flt3_*flt1_/za*(sa-oa/za)</f>
        <v>-1.7127913535297097E-12</v>
      </c>
      <c r="L39">
        <f t="shared" ca="1" si="32"/>
        <v>-6.0985505957942549E-11</v>
      </c>
      <c r="M39">
        <f t="shared" ca="1" si="32"/>
        <v>-1.2620607531187328E-9</v>
      </c>
      <c r="N39">
        <f t="shared" ca="1" si="32"/>
        <v>-1.9532317813727371E-8</v>
      </c>
      <c r="O39">
        <f t="shared" ca="1" si="32"/>
        <v>-2.4639925560931128E-7</v>
      </c>
      <c r="P39">
        <f t="shared" ca="1" si="32"/>
        <v>-2.4564157745445919E-6</v>
      </c>
      <c r="Q39">
        <f t="shared" ca="1" si="32"/>
        <v>-1.7912702909631061E-5</v>
      </c>
      <c r="R39">
        <f t="shared" ca="1" si="32"/>
        <v>-1.8493652478736915E-4</v>
      </c>
      <c r="S39">
        <f t="shared" ca="1" si="32"/>
        <v>-4.6992617925474753E-3</v>
      </c>
      <c r="T39">
        <f t="shared" ca="1" si="32"/>
        <v>-1.317633566465426E-2</v>
      </c>
      <c r="U39">
        <f t="shared" ca="1" si="32"/>
        <v>0.24211463459017021</v>
      </c>
      <c r="V39">
        <f t="shared" ca="1" si="32"/>
        <v>1.7234073450392562</v>
      </c>
      <c r="W39">
        <f t="shared" ca="1" si="32"/>
        <v>5.9006089805453312</v>
      </c>
      <c r="X39">
        <f t="shared" ca="1" si="32"/>
        <v>12.254316168861523</v>
      </c>
      <c r="Y39">
        <f t="shared" ca="1" si="32"/>
        <v>18.322428380987393</v>
      </c>
      <c r="Z39">
        <f t="shared" ca="1" si="32"/>
        <v>22.919366472725812</v>
      </c>
      <c r="AA39">
        <f t="shared" ca="1" si="32"/>
        <v>26.395216788723488</v>
      </c>
      <c r="AB39">
        <f t="shared" ca="1" si="32"/>
        <v>29.230963113121501</v>
      </c>
      <c r="AC39">
        <f t="shared" ca="1" si="32"/>
        <v>31.724183430091689</v>
      </c>
      <c r="AD39">
        <f t="shared" ca="1" si="32"/>
        <v>34.018654504592988</v>
      </c>
      <c r="AE39">
        <f t="shared" ca="1" si="32"/>
        <v>36.176885210708711</v>
      </c>
      <c r="AF39">
        <f t="shared" ca="1" si="32"/>
        <v>38.224415524367082</v>
      </c>
      <c r="AG39">
        <f t="shared" ca="1" si="32"/>
        <v>40.171269678379005</v>
      </c>
      <c r="AH39">
        <f t="shared" ca="1" si="32"/>
        <v>42.021472942477629</v>
      </c>
      <c r="AI39">
        <f t="shared" ca="1" si="32"/>
        <v>43.622351713610946</v>
      </c>
    </row>
    <row r="40" spans="1:35">
      <c r="A40" t="s">
        <v>111</v>
      </c>
      <c r="B40" s="36">
        <f ca="1">SUM(B36:B38)</f>
        <v>0.16527554883400619</v>
      </c>
      <c r="D40" s="20"/>
      <c r="E40" s="38">
        <f ca="1">C49/AVERAGE(C$48:C$50)</f>
        <v>0.5954180308234065</v>
      </c>
      <c r="F40">
        <f t="shared" ref="F40:F41" ca="1" si="33">E49/AVERAGE($E$48:$E$50)</f>
        <v>0.54754832220987726</v>
      </c>
      <c r="G40" s="1">
        <f ca="1">0*re*phi_q1+f1_*phi_q1*$H32+f1_*re*G36</f>
        <v>771440.09835030173</v>
      </c>
      <c r="H40" s="1">
        <f ca="1">re*phi_q2+f2_*phi_q2*$H32+f2_*re*H36</f>
        <v>329719.81418946327</v>
      </c>
      <c r="I40" s="1">
        <f ca="1">0*re*phi_q3+f3_*phi_q3*$H33+f3_*re*I36</f>
        <v>212941.75799787225</v>
      </c>
      <c r="J40" s="8" t="s">
        <v>65</v>
      </c>
      <c r="K40">
        <f t="shared" ref="K40:AI40" ca="1" si="34">flt1_*qa1_+lz*wa*flt1_*flt2_/za*(sa-oa/za)</f>
        <v>-5.7076547090814502E-10</v>
      </c>
      <c r="L40">
        <f t="shared" ca="1" si="34"/>
        <v>-6.9347242035409124E-8</v>
      </c>
      <c r="M40">
        <f t="shared" ca="1" si="34"/>
        <v>-2.6386390976319025E-6</v>
      </c>
      <c r="N40">
        <f t="shared" ca="1" si="34"/>
        <v>-1.7964167055512635E-5</v>
      </c>
      <c r="O40">
        <f t="shared" ca="1" si="34"/>
        <v>-6.2727172344751085E-5</v>
      </c>
      <c r="P40">
        <f t="shared" ca="1" si="34"/>
        <v>-1.8850562994782724E-4</v>
      </c>
      <c r="Q40">
        <f t="shared" ca="1" si="34"/>
        <v>-5.3281165223990966E-4</v>
      </c>
      <c r="R40">
        <f t="shared" ca="1" si="34"/>
        <v>-1.6949898383323422E-3</v>
      </c>
      <c r="S40">
        <f t="shared" ca="1" si="34"/>
        <v>-7.7164035426584496E-3</v>
      </c>
      <c r="T40">
        <f t="shared" ca="1" si="34"/>
        <v>9.6828281911429462E-3</v>
      </c>
      <c r="U40">
        <f t="shared" ca="1" si="34"/>
        <v>0.31975546204667654</v>
      </c>
      <c r="V40">
        <f t="shared" ca="1" si="34"/>
        <v>1.8626922042226355</v>
      </c>
      <c r="W40">
        <f t="shared" ca="1" si="34"/>
        <v>6.0853026073895862</v>
      </c>
      <c r="X40">
        <f t="shared" ca="1" si="34"/>
        <v>12.444084336733582</v>
      </c>
      <c r="Y40">
        <f t="shared" ca="1" si="34"/>
        <v>18.4854280436839</v>
      </c>
      <c r="Z40">
        <f t="shared" ca="1" si="34"/>
        <v>23.064537556432089</v>
      </c>
      <c r="AA40">
        <f t="shared" ca="1" si="34"/>
        <v>26.518207475399123</v>
      </c>
      <c r="AB40">
        <f t="shared" ca="1" si="34"/>
        <v>29.332550832695155</v>
      </c>
      <c r="AC40">
        <f t="shared" ca="1" si="34"/>
        <v>31.806891837732039</v>
      </c>
      <c r="AD40">
        <f t="shared" ca="1" si="34"/>
        <v>34.085354590310544</v>
      </c>
      <c r="AE40">
        <f t="shared" ca="1" si="34"/>
        <v>36.230291842025451</v>
      </c>
      <c r="AF40">
        <f t="shared" ca="1" si="34"/>
        <v>38.26692801859911</v>
      </c>
      <c r="AG40">
        <f t="shared" ca="1" si="34"/>
        <v>40.204940106532831</v>
      </c>
      <c r="AH40">
        <f t="shared" ca="1" si="34"/>
        <v>42.048022226378649</v>
      </c>
      <c r="AI40">
        <f t="shared" ca="1" si="34"/>
        <v>43.707175899572768</v>
      </c>
    </row>
    <row r="41" spans="1:35">
      <c r="A41" s="11" t="s">
        <v>22</v>
      </c>
      <c r="B41" s="11"/>
      <c r="C41" s="11"/>
      <c r="D41" s="20"/>
      <c r="E41" s="38">
        <f ca="1">C50/AVERAGE(C$48:C$50)</f>
        <v>0.47518211193048815</v>
      </c>
      <c r="F41">
        <f t="shared" ca="1" si="33"/>
        <v>0.52455307374498816</v>
      </c>
      <c r="G41" s="1">
        <f ca="1">0*re*phi_q1+f1_*phi_q1*$H33+f1_*re*G37</f>
        <v>785786.79968217155</v>
      </c>
      <c r="H41" s="1">
        <f ca="1">0*re*phi_q3+f3_*phi_q3*$H33+f3_*re*H37</f>
        <v>212941.75799787225</v>
      </c>
      <c r="I41" s="1">
        <f ca="1">re*phi_q3+f1_*phi_q3*$H33+f3_*re*I37</f>
        <v>347443.3156287559</v>
      </c>
      <c r="J41" s="8" t="s">
        <v>67</v>
      </c>
      <c r="K41">
        <f t="shared" ref="K41:AI41" ca="1" si="35">flt1_*qa1_+lz*wa*flt3_*flt2_/za*(sa-oa/za)</f>
        <v>-4.592157392674302E-9</v>
      </c>
      <c r="L41">
        <f t="shared" ca="1" si="35"/>
        <v>-7.7844576657117044E-7</v>
      </c>
      <c r="M41">
        <f t="shared" ca="1" si="35"/>
        <v>-4.1255510798352289E-5</v>
      </c>
      <c r="N41">
        <f t="shared" ca="1" si="35"/>
        <v>-3.8779243988322867E-4</v>
      </c>
      <c r="O41">
        <f t="shared" ca="1" si="35"/>
        <v>-1.8068731251117743E-3</v>
      </c>
      <c r="P41">
        <f t="shared" ca="1" si="35"/>
        <v>-6.4631901519993824E-3</v>
      </c>
      <c r="Q41">
        <f t="shared" ca="1" si="35"/>
        <v>-1.7269055916884195E-2</v>
      </c>
      <c r="R41">
        <f t="shared" ca="1" si="35"/>
        <v>-5.4299694353329542E-2</v>
      </c>
      <c r="S41">
        <f t="shared" ca="1" si="35"/>
        <v>-0.24957777858042993</v>
      </c>
      <c r="T41">
        <f t="shared" ca="1" si="35"/>
        <v>-0.43474788101548217</v>
      </c>
      <c r="U41">
        <f t="shared" ca="1" si="35"/>
        <v>-4.6966126546817699E-2</v>
      </c>
      <c r="V41">
        <f t="shared" ca="1" si="35"/>
        <v>1.6647386019242512</v>
      </c>
      <c r="W41">
        <f t="shared" ca="1" si="35"/>
        <v>6.0442928039591557</v>
      </c>
      <c r="X41">
        <f t="shared" ca="1" si="35"/>
        <v>12.49830903674337</v>
      </c>
      <c r="Y41">
        <f t="shared" ca="1" si="35"/>
        <v>18.574320762678525</v>
      </c>
      <c r="Z41">
        <f t="shared" ca="1" si="35"/>
        <v>23.151168847390871</v>
      </c>
      <c r="AA41">
        <f t="shared" ca="1" si="35"/>
        <v>26.594065493329364</v>
      </c>
      <c r="AB41">
        <f t="shared" ca="1" si="35"/>
        <v>29.396000365505813</v>
      </c>
      <c r="AC41">
        <f t="shared" ca="1" si="35"/>
        <v>31.858800824774526</v>
      </c>
      <c r="AD41">
        <f t="shared" ca="1" si="35"/>
        <v>34.127295137278267</v>
      </c>
      <c r="AE41">
        <f t="shared" ca="1" si="35"/>
        <v>36.263897847714297</v>
      </c>
      <c r="AF41">
        <f t="shared" ca="1" si="35"/>
        <v>38.293686254058954</v>
      </c>
      <c r="AG41">
        <f t="shared" ca="1" si="35"/>
        <v>40.226135076579673</v>
      </c>
      <c r="AH41">
        <f t="shared" ca="1" si="35"/>
        <v>42.064735083121562</v>
      </c>
      <c r="AI41">
        <f t="shared" ca="1" si="35"/>
        <v>43.760573256962608</v>
      </c>
    </row>
    <row r="42" spans="1:35">
      <c r="A42" s="58" t="s">
        <v>127</v>
      </c>
      <c r="B42" s="59">
        <f ca="1">SUMPRODUCT(lz,wa)</f>
        <v>35.964897571316769</v>
      </c>
      <c r="C42" s="58"/>
      <c r="J42" s="8" t="s">
        <v>68</v>
      </c>
      <c r="K42">
        <f t="shared" ref="K42:AI42" ca="1" si="36">flt1_*qa1_+lz*wa*flt1_*flt3_/za*(sa-oa/za)</f>
        <v>-1.7127913535297097E-12</v>
      </c>
      <c r="L42">
        <f t="shared" ca="1" si="36"/>
        <v>-6.0985505957942549E-11</v>
      </c>
      <c r="M42">
        <f t="shared" ca="1" si="36"/>
        <v>-1.2620607531187328E-9</v>
      </c>
      <c r="N42">
        <f t="shared" ca="1" si="36"/>
        <v>-1.9532317813727368E-8</v>
      </c>
      <c r="O42">
        <f t="shared" ca="1" si="36"/>
        <v>-2.4639925560931128E-7</v>
      </c>
      <c r="P42">
        <f t="shared" ca="1" si="36"/>
        <v>-2.4564157745445919E-6</v>
      </c>
      <c r="Q42">
        <f t="shared" ca="1" si="36"/>
        <v>-1.7912702909631061E-5</v>
      </c>
      <c r="R42">
        <f t="shared" ca="1" si="36"/>
        <v>-1.8493652478736915E-4</v>
      </c>
      <c r="S42">
        <f t="shared" ca="1" si="36"/>
        <v>-4.699261792547477E-3</v>
      </c>
      <c r="T42">
        <f t="shared" ca="1" si="36"/>
        <v>-1.317633566465426E-2</v>
      </c>
      <c r="U42">
        <f t="shared" ca="1" si="36"/>
        <v>0.24211463459017019</v>
      </c>
      <c r="V42">
        <f t="shared" ca="1" si="36"/>
        <v>1.7234073450392562</v>
      </c>
      <c r="W42">
        <f t="shared" ca="1" si="36"/>
        <v>5.9006089805453312</v>
      </c>
      <c r="X42">
        <f t="shared" ca="1" si="36"/>
        <v>12.254316168861523</v>
      </c>
      <c r="Y42">
        <f t="shared" ca="1" si="36"/>
        <v>18.322428380987393</v>
      </c>
      <c r="Z42">
        <f t="shared" ca="1" si="36"/>
        <v>22.919366472725812</v>
      </c>
      <c r="AA42">
        <f t="shared" ca="1" si="36"/>
        <v>26.395216788723488</v>
      </c>
      <c r="AB42">
        <f t="shared" ca="1" si="36"/>
        <v>29.230963113121501</v>
      </c>
      <c r="AC42">
        <f t="shared" ca="1" si="36"/>
        <v>31.724183430091689</v>
      </c>
      <c r="AD42">
        <f t="shared" ca="1" si="36"/>
        <v>34.018654504592988</v>
      </c>
      <c r="AE42">
        <f t="shared" ca="1" si="36"/>
        <v>36.176885210708711</v>
      </c>
      <c r="AF42">
        <f t="shared" ca="1" si="36"/>
        <v>38.224415524367082</v>
      </c>
      <c r="AG42">
        <f t="shared" ca="1" si="36"/>
        <v>40.171269678379005</v>
      </c>
      <c r="AH42">
        <f t="shared" ca="1" si="36"/>
        <v>42.021472942477629</v>
      </c>
      <c r="AI42">
        <f t="shared" ca="1" si="36"/>
        <v>43.622351713610946</v>
      </c>
    </row>
    <row r="43" spans="1:35">
      <c r="A43" t="s">
        <v>28</v>
      </c>
      <c r="B43" s="1">
        <f>SUMPRODUCT(lx,wa,ma)</f>
        <v>42.964265069494779</v>
      </c>
      <c r="J43" s="8" t="s">
        <v>61</v>
      </c>
      <c r="K43">
        <f t="shared" ref="K43:AI43" ca="1" si="37">flt1_*qa1_+lz*wa*flt2_*flt3_/za*(sa-oa/za)</f>
        <v>-4.592157392674302E-9</v>
      </c>
      <c r="L43">
        <f t="shared" ca="1" si="37"/>
        <v>-7.7844576657117044E-7</v>
      </c>
      <c r="M43">
        <f t="shared" ca="1" si="37"/>
        <v>-4.1255510798352282E-5</v>
      </c>
      <c r="N43">
        <f t="shared" ca="1" si="37"/>
        <v>-3.8779243988322867E-4</v>
      </c>
      <c r="O43">
        <f t="shared" ca="1" si="37"/>
        <v>-1.8068731251117743E-3</v>
      </c>
      <c r="P43">
        <f t="shared" ca="1" si="37"/>
        <v>-6.4631901519993816E-3</v>
      </c>
      <c r="Q43">
        <f t="shared" ca="1" si="37"/>
        <v>-1.7269055916884195E-2</v>
      </c>
      <c r="R43">
        <f t="shared" ca="1" si="37"/>
        <v>-5.4299694353329549E-2</v>
      </c>
      <c r="S43">
        <f t="shared" ca="1" si="37"/>
        <v>-0.24957777858042993</v>
      </c>
      <c r="T43">
        <f t="shared" ca="1" si="37"/>
        <v>-0.43474788101548212</v>
      </c>
      <c r="U43">
        <f t="shared" ca="1" si="37"/>
        <v>-4.6966126546817699E-2</v>
      </c>
      <c r="V43">
        <f t="shared" ca="1" si="37"/>
        <v>1.6647386019242512</v>
      </c>
      <c r="W43">
        <f t="shared" ca="1" si="37"/>
        <v>6.0442928039591557</v>
      </c>
      <c r="X43">
        <f t="shared" ca="1" si="37"/>
        <v>12.49830903674337</v>
      </c>
      <c r="Y43">
        <f t="shared" ca="1" si="37"/>
        <v>18.574320762678525</v>
      </c>
      <c r="Z43">
        <f t="shared" ca="1" si="37"/>
        <v>23.151168847390871</v>
      </c>
      <c r="AA43">
        <f t="shared" ca="1" si="37"/>
        <v>26.594065493329364</v>
      </c>
      <c r="AB43">
        <f t="shared" ca="1" si="37"/>
        <v>29.396000365505813</v>
      </c>
      <c r="AC43">
        <f t="shared" ca="1" si="37"/>
        <v>31.858800824774526</v>
      </c>
      <c r="AD43">
        <f t="shared" ca="1" si="37"/>
        <v>34.127295137278267</v>
      </c>
      <c r="AE43">
        <f t="shared" ca="1" si="37"/>
        <v>36.263897847714297</v>
      </c>
      <c r="AF43">
        <f t="shared" ca="1" si="37"/>
        <v>38.293686254058954</v>
      </c>
      <c r="AG43">
        <f t="shared" ca="1" si="37"/>
        <v>40.226135076579673</v>
      </c>
      <c r="AH43">
        <f t="shared" ca="1" si="37"/>
        <v>42.064735083121562</v>
      </c>
      <c r="AI43">
        <f t="shared" ca="1" si="37"/>
        <v>43.760573256962608</v>
      </c>
    </row>
    <row r="44" spans="1:35">
      <c r="A44" t="s">
        <v>27</v>
      </c>
      <c r="B44" s="1">
        <f ca="1">SUMPRODUCT(lz,wa,ma)</f>
        <v>17.185358225451377</v>
      </c>
    </row>
    <row r="45" spans="1:35">
      <c r="A45" t="s">
        <v>33</v>
      </c>
      <c r="B45" s="1">
        <f ca="1">SUMPRODUCT(lz,ta1_)</f>
        <v>0.46899213773862691</v>
      </c>
      <c r="C45" s="28">
        <f ca="1">B20/(phi_t1/SUM(B$45:B$47))</f>
        <v>2.6205672107258033</v>
      </c>
      <c r="J45" s="2" t="s">
        <v>86</v>
      </c>
    </row>
    <row r="46" spans="1:35" ht="19" thickBot="1">
      <c r="A46" t="s">
        <v>34</v>
      </c>
      <c r="B46" s="1">
        <f ca="1">SUMPRODUCT(lz,ta2_)</f>
        <v>2.4321013607871702</v>
      </c>
      <c r="C46" s="28">
        <f ca="1">B21/(phi_t2/SUM(B$45:B$47))</f>
        <v>0.80321766198192668</v>
      </c>
      <c r="G46" s="31" t="s">
        <v>142</v>
      </c>
      <c r="H46" s="31"/>
      <c r="I46" s="31"/>
      <c r="J46" s="8" t="s">
        <v>75</v>
      </c>
      <c r="K46">
        <f t="shared" ref="K46:AI46" ca="1" si="38">lz*qa1_</f>
        <v>2.0955886752476438E-7</v>
      </c>
      <c r="L46">
        <f t="shared" ca="1" si="38"/>
        <v>1.9708059535476667E-6</v>
      </c>
      <c r="M46">
        <f t="shared" ca="1" si="38"/>
        <v>1.0957796364180568E-5</v>
      </c>
      <c r="N46">
        <f t="shared" ca="1" si="38"/>
        <v>4.6509350694839696E-5</v>
      </c>
      <c r="O46">
        <f t="shared" ca="1" si="38"/>
        <v>1.6823500641427374E-4</v>
      </c>
      <c r="P46">
        <f t="shared" ca="1" si="38"/>
        <v>5.4972561950763761E-4</v>
      </c>
      <c r="Q46">
        <f t="shared" ca="1" si="38"/>
        <v>1.7009486449166367E-3</v>
      </c>
      <c r="R46">
        <f t="shared" ca="1" si="38"/>
        <v>6.026490398321478E-3</v>
      </c>
      <c r="S46">
        <f t="shared" ca="1" si="38"/>
        <v>3.6726548962714427E-2</v>
      </c>
      <c r="T46">
        <f t="shared" ca="1" si="38"/>
        <v>0.17078460231175169</v>
      </c>
      <c r="U46">
        <f t="shared" ca="1" si="38"/>
        <v>0.43862562186053305</v>
      </c>
      <c r="V46">
        <f t="shared" ca="1" si="38"/>
        <v>0.85040820216319513</v>
      </c>
      <c r="W46">
        <f t="shared" ca="1" si="38"/>
        <v>1.2806270776850461</v>
      </c>
      <c r="X46">
        <f t="shared" ca="1" si="38"/>
        <v>1.5070322800346712</v>
      </c>
      <c r="Y46">
        <f t="shared" ca="1" si="38"/>
        <v>1.4846985480698842</v>
      </c>
      <c r="Z46">
        <f t="shared" ca="1" si="38"/>
        <v>1.3236871957553566</v>
      </c>
      <c r="AA46">
        <f t="shared" ca="1" si="38"/>
        <v>1.1219412148428041</v>
      </c>
      <c r="AB46">
        <f t="shared" ca="1" si="38"/>
        <v>0.92686561034163562</v>
      </c>
      <c r="AC46">
        <f t="shared" ca="1" si="38"/>
        <v>0.75466787938115376</v>
      </c>
      <c r="AD46">
        <f t="shared" ca="1" si="38"/>
        <v>0.60861767664628486</v>
      </c>
      <c r="AE46">
        <f t="shared" ca="1" si="38"/>
        <v>0.48732420306852875</v>
      </c>
      <c r="AF46">
        <f t="shared" ca="1" si="38"/>
        <v>0.38791907906321565</v>
      </c>
      <c r="AG46">
        <f t="shared" ca="1" si="38"/>
        <v>0.30723722353836452</v>
      </c>
      <c r="AH46">
        <f t="shared" ca="1" si="38"/>
        <v>0.24225804426182357</v>
      </c>
      <c r="AI46">
        <f t="shared" ca="1" si="38"/>
        <v>0.77400742709572545</v>
      </c>
    </row>
    <row r="47" spans="1:35" ht="19" thickTop="1">
      <c r="A47" t="s">
        <v>35</v>
      </c>
      <c r="B47" s="1">
        <f ca="1">SUMPRODUCT(lz,ta3_)</f>
        <v>0.79173802821149863</v>
      </c>
      <c r="C47" s="28">
        <f ca="1">B22/(phi_t3/SUM(B$45:B$47))</f>
        <v>0.6445305411557164</v>
      </c>
      <c r="F47" t="s">
        <v>83</v>
      </c>
      <c r="G47" s="30">
        <f ca="1">G39/G53</f>
        <v>1.0000000000000002</v>
      </c>
      <c r="H47" s="30">
        <f ca="1">H53/H39</f>
        <v>0.76118201687512899</v>
      </c>
      <c r="I47" s="30">
        <f ca="1">I53/I39</f>
        <v>0.76710613636770697</v>
      </c>
      <c r="J47" s="8" t="s">
        <v>76</v>
      </c>
      <c r="K47">
        <f t="shared" ref="K47:AI47" ca="1" si="39">lz*qa2_</f>
        <v>4.1852239412688722E-4</v>
      </c>
      <c r="L47">
        <f t="shared" ca="1" si="39"/>
        <v>1.981173174519411E-2</v>
      </c>
      <c r="M47">
        <f t="shared" ca="1" si="39"/>
        <v>0.29444767392082494</v>
      </c>
      <c r="N47">
        <f t="shared" ca="1" si="39"/>
        <v>0.78278472805767529</v>
      </c>
      <c r="O47">
        <f t="shared" ca="1" si="39"/>
        <v>1.0661092976781996</v>
      </c>
      <c r="P47">
        <f t="shared" ca="1" si="39"/>
        <v>1.2499427332181481</v>
      </c>
      <c r="Q47">
        <f t="shared" ca="1" si="39"/>
        <v>1.3589897412725569</v>
      </c>
      <c r="R47">
        <f t="shared" ca="1" si="39"/>
        <v>1.3990564995389749</v>
      </c>
      <c r="S47">
        <f t="shared" ca="1" si="39"/>
        <v>1.3746962228818571</v>
      </c>
      <c r="T47">
        <f t="shared" ca="1" si="39"/>
        <v>1.2904858632106528</v>
      </c>
      <c r="U47">
        <f t="shared" ca="1" si="39"/>
        <v>1.1627441952549886</v>
      </c>
      <c r="V47">
        <f t="shared" ca="1" si="39"/>
        <v>1.0102243514196705</v>
      </c>
      <c r="W47">
        <f t="shared" ca="1" si="39"/>
        <v>0.84533468682294699</v>
      </c>
      <c r="X47">
        <f t="shared" ca="1" si="39"/>
        <v>0.68253507418762127</v>
      </c>
      <c r="Y47">
        <f t="shared" ca="1" si="39"/>
        <v>0.53598493284849402</v>
      </c>
      <c r="Z47">
        <f t="shared" ca="1" si="39"/>
        <v>0.44972700229914692</v>
      </c>
      <c r="AA47">
        <f t="shared" ca="1" si="39"/>
        <v>0.37189302972048677</v>
      </c>
      <c r="AB47">
        <f t="shared" ca="1" si="39"/>
        <v>0.30424131332518811</v>
      </c>
      <c r="AC47">
        <f t="shared" ca="1" si="39"/>
        <v>0.24677057283313117</v>
      </c>
      <c r="AD47">
        <f t="shared" ca="1" si="39"/>
        <v>0.1987166761899353</v>
      </c>
      <c r="AE47">
        <f t="shared" ca="1" si="39"/>
        <v>0.15902211191442933</v>
      </c>
      <c r="AF47">
        <f t="shared" ca="1" si="39"/>
        <v>0.12655684186355257</v>
      </c>
      <c r="AG47">
        <f t="shared" ca="1" si="39"/>
        <v>0.10022678240169752</v>
      </c>
      <c r="AH47">
        <f t="shared" ca="1" si="39"/>
        <v>7.9027314393827028E-2</v>
      </c>
      <c r="AI47">
        <f t="shared" ca="1" si="39"/>
        <v>0.2524889644240762</v>
      </c>
    </row>
    <row r="48" spans="1:35">
      <c r="A48" s="1" t="s">
        <v>36</v>
      </c>
      <c r="B48" s="1">
        <f ca="1">SUMPRODUCT(lz,qa1_)</f>
        <v>12.711933482263731</v>
      </c>
      <c r="C48" s="22">
        <f ca="1">B13/(phi_q1/SUM($B48:$B50))</f>
        <v>2.0282975679235222</v>
      </c>
      <c r="E48" s="22">
        <f ca="1">$B6/(phi_q1/SUM($B$48:$B$50))</f>
        <v>2.0283083728156588</v>
      </c>
      <c r="F48" t="s">
        <v>84</v>
      </c>
      <c r="G48" s="30">
        <f ca="1">G40/G54</f>
        <v>1.3137462234135373</v>
      </c>
      <c r="H48" s="30">
        <f t="shared" ref="H48:I49" ca="1" si="40">H40/H54</f>
        <v>1</v>
      </c>
      <c r="I48" s="30">
        <f ca="1">I54/I40</f>
        <v>1.5894748789420206</v>
      </c>
      <c r="J48" s="8" t="s">
        <v>77</v>
      </c>
      <c r="K48">
        <f t="shared" ref="K48:AI48" ca="1" si="41">lz*qa3_</f>
        <v>1.6845127797050366E-6</v>
      </c>
      <c r="L48">
        <f t="shared" ca="1" si="41"/>
        <v>2.2118169583799735E-5</v>
      </c>
      <c r="M48">
        <f t="shared" ca="1" si="41"/>
        <v>1.7131015313274144E-4</v>
      </c>
      <c r="N48">
        <f t="shared" ca="1" si="41"/>
        <v>1.0038102890693888E-3</v>
      </c>
      <c r="O48">
        <f t="shared" ca="1" si="41"/>
        <v>4.8431678031806346E-3</v>
      </c>
      <c r="P48">
        <f t="shared" ca="1" si="41"/>
        <v>1.8810724899123527E-2</v>
      </c>
      <c r="Q48">
        <f t="shared" ca="1" si="41"/>
        <v>5.476066234606531E-2</v>
      </c>
      <c r="R48">
        <f t="shared" ca="1" si="41"/>
        <v>0.18778800814213475</v>
      </c>
      <c r="S48">
        <f t="shared" ca="1" si="41"/>
        <v>0.94881213947819731</v>
      </c>
      <c r="T48">
        <f t="shared" ca="1" si="41"/>
        <v>2.0023128269593848</v>
      </c>
      <c r="U48">
        <f t="shared" ca="1" si="41"/>
        <v>2.0889775967145985</v>
      </c>
      <c r="V48">
        <f t="shared" ca="1" si="41"/>
        <v>1.824035495025617</v>
      </c>
      <c r="W48">
        <f t="shared" ca="1" si="41"/>
        <v>1.5012705970855567</v>
      </c>
      <c r="X48">
        <f t="shared" ca="1" si="41"/>
        <v>1.1880775597884701</v>
      </c>
      <c r="Y48">
        <f t="shared" ca="1" si="41"/>
        <v>0.91385993108747998</v>
      </c>
      <c r="Z48">
        <f t="shared" ca="1" si="41"/>
        <v>0.76678925496111017</v>
      </c>
      <c r="AA48">
        <f t="shared" ca="1" si="41"/>
        <v>0.63408151551220049</v>
      </c>
      <c r="AB48">
        <f t="shared" ca="1" si="41"/>
        <v>0.51873462963167338</v>
      </c>
      <c r="AC48">
        <f t="shared" ca="1" si="41"/>
        <v>0.42074641442849803</v>
      </c>
      <c r="AD48">
        <f t="shared" ca="1" si="41"/>
        <v>0.33881401673692141</v>
      </c>
      <c r="AE48">
        <f t="shared" ca="1" si="41"/>
        <v>0.27113436839200172</v>
      </c>
      <c r="AF48">
        <f t="shared" ca="1" si="41"/>
        <v>0.21578074250972895</v>
      </c>
      <c r="AG48">
        <f t="shared" ca="1" si="41"/>
        <v>0.17088771501833552</v>
      </c>
      <c r="AH48">
        <f t="shared" ca="1" si="41"/>
        <v>0.13474239975769181</v>
      </c>
      <c r="AI48">
        <f t="shared" ca="1" si="41"/>
        <v>0.4304963320567039</v>
      </c>
    </row>
    <row r="49" spans="1:47">
      <c r="A49" s="1" t="s">
        <v>37</v>
      </c>
      <c r="B49" s="1">
        <f ca="1">SUMPRODUCT(lz,qa2_)</f>
        <v>15.362236863817406</v>
      </c>
      <c r="C49" s="22">
        <f ca="1">B14/(phi_q2/SUM(B$48:B$50))</f>
        <v>0.62593813266924136</v>
      </c>
      <c r="E49" s="22">
        <f ca="1">$B7/(phi_q2/SUM($B$48:$B$50))</f>
        <v>0.576066004783237</v>
      </c>
      <c r="F49" t="s">
        <v>85</v>
      </c>
      <c r="G49" s="30">
        <f ca="1">G41/G55</f>
        <v>1.3036005744068992</v>
      </c>
      <c r="H49" s="30">
        <f t="shared" ca="1" si="40"/>
        <v>0.62913859995422872</v>
      </c>
      <c r="I49" s="30">
        <f t="shared" ca="1" si="40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38</v>
      </c>
      <c r="B50" s="1">
        <f ca="1">SUMPRODUCT(lz,qa3_)</f>
        <v>14.636955021459237</v>
      </c>
      <c r="C50" s="22">
        <f ca="1">B15/(phi_q3/SUM(B$48:B$50))</f>
        <v>0.49953912784312637</v>
      </c>
      <c r="E50" s="22">
        <f ca="1">$B8/(phi_q3/SUM($B$48:$B$50))</f>
        <v>0.55187310641272747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95</v>
      </c>
      <c r="B51" s="1">
        <f ca="1">SUMPRODUCT(lz/SUM(lz),len,ta1_)</f>
        <v>8.0861371858746445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27139723662.432636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1022.6292376163266</v>
      </c>
      <c r="H52" s="56">
        <f ca="1">H40^0.5</f>
        <v>574.21234242174148</v>
      </c>
      <c r="I52" s="10">
        <f ca="1">I41^0.5</f>
        <v>589.44322511057487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9314990270.1772213</v>
      </c>
      <c r="AL52" s="30"/>
      <c r="AM52" s="30"/>
      <c r="AN52" s="30"/>
      <c r="AO52" s="30"/>
      <c r="AP52" s="30"/>
      <c r="AQ52" s="44"/>
      <c r="AU52" s="45"/>
    </row>
    <row r="53" spans="1:47">
      <c r="G53">
        <f ca="1">G$52*$J53</f>
        <v>1045770.5576277493</v>
      </c>
      <c r="H53">
        <f t="shared" ref="H53:I53" ca="1" si="42">H$52*$J53</f>
        <v>587206.32996063051</v>
      </c>
      <c r="I53">
        <f t="shared" ca="1" si="42"/>
        <v>602781.87591293594</v>
      </c>
      <c r="J53">
        <f t="array" aca="1" ref="J53:J55" ca="1">TRANSPOSE(G52:I52)</f>
        <v>1022.6292376163266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8502482476.8043509</v>
      </c>
      <c r="AL53" s="30"/>
      <c r="AM53" s="30"/>
      <c r="AN53" s="30"/>
      <c r="AO53" s="30"/>
      <c r="AP53" s="30"/>
    </row>
    <row r="54" spans="1:47">
      <c r="A54" s="14" t="s">
        <v>39</v>
      </c>
      <c r="B54" s="15"/>
      <c r="C54" s="15"/>
      <c r="G54">
        <f t="shared" ref="G54:I55" ca="1" si="43">G$52*$J54</f>
        <v>587206.32996063051</v>
      </c>
      <c r="H54">
        <f t="shared" ca="1" si="43"/>
        <v>329719.81418946327</v>
      </c>
      <c r="I54">
        <f ca="1">I$52*$J54</f>
        <v>338465.57501536905</v>
      </c>
      <c r="J54">
        <f ca="1"/>
        <v>574.21234242174148</v>
      </c>
      <c r="AL54" s="30"/>
      <c r="AM54" s="30"/>
      <c r="AN54" s="30"/>
      <c r="AO54" s="30"/>
      <c r="AP54" s="30"/>
      <c r="AQ54" s="44"/>
    </row>
    <row r="55" spans="1:47">
      <c r="A55" s="1" t="s">
        <v>40</v>
      </c>
      <c r="B55" s="1">
        <f ca="1">phif/phie</f>
        <v>0.39999190484589991</v>
      </c>
      <c r="G55">
        <f t="shared" ca="1" si="43"/>
        <v>602781.87591293594</v>
      </c>
      <c r="H55">
        <f t="shared" ca="1" si="43"/>
        <v>338465.57501536905</v>
      </c>
      <c r="I55">
        <f t="shared" ca="1" si="43"/>
        <v>347443.31562875584</v>
      </c>
      <c r="J55">
        <f ca="1"/>
        <v>589.44322511057487</v>
      </c>
      <c r="S55" s="32"/>
      <c r="AL55" s="30"/>
      <c r="AM55" s="30"/>
      <c r="AN55" s="30"/>
      <c r="AO55" s="30"/>
      <c r="AP55" s="30"/>
      <c r="AQ55" s="44"/>
    </row>
    <row r="56" spans="1:47">
      <c r="A56" s="1" t="s">
        <v>41</v>
      </c>
      <c r="B56" s="10">
        <f ca="1">MAX(0,Ro*(reck-1/spr)/(reck-1))</f>
        <v>20101.164598695599</v>
      </c>
      <c r="AL56" s="30"/>
      <c r="AM56" s="30"/>
      <c r="AN56" s="30"/>
      <c r="AO56" s="30"/>
      <c r="AP56" s="30"/>
      <c r="AQ56" s="44"/>
    </row>
    <row r="57" spans="1:47">
      <c r="A57" s="1" t="s">
        <v>43</v>
      </c>
      <c r="B57" s="120">
        <f ca="1">f1_*re*phi_q1</f>
        <v>27139.749506251817</v>
      </c>
      <c r="C57" s="19">
        <f ca="1">ye_1/SUM(ye_1,ye_2,ye_3)</f>
        <v>0.60367918441896973</v>
      </c>
      <c r="I57"/>
      <c r="AL57" s="30"/>
      <c r="AM57" s="30"/>
      <c r="AN57" s="30"/>
      <c r="AO57" s="30"/>
      <c r="AP57" s="30"/>
      <c r="AQ57" s="44"/>
    </row>
    <row r="58" spans="1:47">
      <c r="A58" s="1" t="s">
        <v>44</v>
      </c>
      <c r="B58" s="120">
        <f ca="1">f2_*re*phi_q2</f>
        <v>9314.9999084514002</v>
      </c>
      <c r="C58" s="19">
        <f ca="1">ye_2/SUM(ye_1,ye_2,ye_3)</f>
        <v>0.20719688463968181</v>
      </c>
      <c r="I58"/>
      <c r="AL58" s="30"/>
      <c r="AM58" s="30"/>
      <c r="AN58" s="30"/>
      <c r="AO58" s="30"/>
      <c r="AP58" s="30"/>
    </row>
    <row r="59" spans="1:47">
      <c r="A59" s="1" t="s">
        <v>45</v>
      </c>
      <c r="B59" s="120">
        <f ca="1">f3_*re*phi_q3</f>
        <v>8502.4898056176462</v>
      </c>
      <c r="C59" s="19">
        <f ca="1">ye_3/SUM(ye_1,ye_2,ye_3)</f>
        <v>0.18912393094134847</v>
      </c>
      <c r="I59"/>
      <c r="AL59" s="30"/>
      <c r="AM59" s="30"/>
      <c r="AN59" s="30"/>
      <c r="AO59" s="30"/>
      <c r="AP59" s="30"/>
    </row>
    <row r="60" spans="1:47">
      <c r="A60" s="1" t="s">
        <v>72</v>
      </c>
      <c r="B60" s="1">
        <f ca="1">SUM(B57:B59)</f>
        <v>44957.239220320866</v>
      </c>
      <c r="AL60" s="30"/>
      <c r="AM60" s="30"/>
      <c r="AN60" s="30"/>
      <c r="AO60" s="30"/>
      <c r="AP60" s="30"/>
    </row>
    <row r="61" spans="1:47">
      <c r="A61" s="1"/>
      <c r="B61" s="1"/>
      <c r="AL61" s="30"/>
      <c r="AM61" s="30"/>
      <c r="AN61" s="30"/>
      <c r="AO61" s="30"/>
      <c r="AP61" s="30"/>
    </row>
    <row r="62" spans="1:47">
      <c r="A62" s="22" t="s">
        <v>87</v>
      </c>
      <c r="B62" s="34">
        <f ca="1">f1_*phi_q1</f>
        <v>1.3501580653696537</v>
      </c>
      <c r="C62">
        <f ca="1">AVERAGE(B62:B64)/B62</f>
        <v>0.55216966550562874</v>
      </c>
      <c r="AL62" s="30"/>
      <c r="AM62" s="30"/>
      <c r="AN62" s="30"/>
      <c r="AO62" s="30"/>
      <c r="AP62" s="30"/>
    </row>
    <row r="63" spans="1:47">
      <c r="A63" s="22" t="s">
        <v>88</v>
      </c>
      <c r="B63" s="34">
        <f ca="1">f2_*phi_q2</f>
        <v>0.46340598141541844</v>
      </c>
      <c r="C63">
        <f ca="1">AVERAGE(B62:B64)/B63</f>
        <v>1.6087757975367465</v>
      </c>
      <c r="AL63" s="30"/>
      <c r="AM63" s="30"/>
      <c r="AN63" s="30"/>
      <c r="AO63" s="30"/>
      <c r="AP63" s="30"/>
    </row>
    <row r="64" spans="1:47">
      <c r="A64" s="22" t="s">
        <v>89</v>
      </c>
      <c r="B64" s="34">
        <f ca="1">f3_*phi_q3</f>
        <v>0.42298493521959363</v>
      </c>
      <c r="C64">
        <f ca="1">AVERAGE(B62:B64)/B64</f>
        <v>1.7625127167894339</v>
      </c>
      <c r="AL64" s="30"/>
      <c r="AM64" s="30"/>
      <c r="AN64" s="30"/>
      <c r="AO64" s="30"/>
      <c r="AP64" s="30"/>
    </row>
    <row r="65" spans="1:3">
      <c r="A65" s="28" t="s">
        <v>90</v>
      </c>
      <c r="B65" s="33">
        <f ca="1">phi_t1*f1_</f>
        <v>4.9812526021021979E-2</v>
      </c>
      <c r="C65">
        <f ca="1">AVERAGE(B65:B67)/B65</f>
        <v>0.9773813051098601</v>
      </c>
    </row>
    <row r="66" spans="1:3">
      <c r="A66" s="28" t="s">
        <v>91</v>
      </c>
      <c r="B66" s="33">
        <f ca="1">phi_t2*f2_</f>
        <v>7.3364987663475545E-2</v>
      </c>
      <c r="C66">
        <f ca="1">AVERAGE(B65:B67)/B66</f>
        <v>0.66361125713762459</v>
      </c>
    </row>
    <row r="67" spans="1:3">
      <c r="A67" s="28" t="s">
        <v>92</v>
      </c>
      <c r="B67" s="33">
        <f ca="1">phi_t3*f3_</f>
        <v>2.2879981395238464E-2</v>
      </c>
      <c r="C67">
        <f ca="1">AVERAGE(B65:B67)/B67</f>
        <v>2.1278789895946901</v>
      </c>
    </row>
    <row r="69" spans="1:3">
      <c r="A69" s="29" t="s">
        <v>119</v>
      </c>
      <c r="B69">
        <f ca="1">ypr1/mpr1_</f>
        <v>27.104790164623601</v>
      </c>
    </row>
    <row r="70" spans="1:3">
      <c r="A70" s="29" t="s">
        <v>120</v>
      </c>
      <c r="B70">
        <f ca="1">ypr2/mpr2_</f>
        <v>6.3164459802141177</v>
      </c>
    </row>
    <row r="71" spans="1:3">
      <c r="A71" s="29" t="s">
        <v>121</v>
      </c>
      <c r="B71">
        <f ca="1">ypr3/mpr3_</f>
        <v>18.487118844756608</v>
      </c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FixedPSCLimit!K6:AI6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FixedPSCLimit!K18:AI18</xm:f>
              <xm:sqref>J18</xm:sqref>
            </x14:sparkline>
            <x14:sparkline>
              <xm:f>FixedPSCLimit!K19:AI19</xm:f>
              <xm:sqref>J19</xm:sqref>
            </x14:sparkline>
            <x14:sparkline>
              <xm:f>FixedPSCLimit!K20:AI20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FixedPSCLimit!K46:AI46</xm:f>
              <xm:sqref>J46</xm:sqref>
            </x14:sparkline>
            <x14:sparkline>
              <xm:f>FixedPSCLimit!K47:AI47</xm:f>
              <xm:sqref>J47</xm:sqref>
            </x14:sparkline>
            <x14:sparkline>
              <xm:f>FixedPSCLimit!K48:AI48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FixedPSCLimit!K35:AI35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22185.133991994633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6291.2801403410349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0.11522138309293593</v>
      </c>
      <c r="W7" s="1">
        <f t="shared" ca="1" si="4"/>
        <v>9.2002116389942781E-2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4.079275850306649E-2</v>
      </c>
      <c r="AA7" s="1">
        <f t="shared" ca="1" si="4"/>
        <v>3.0376571826774293E-2</v>
      </c>
      <c r="AB7" s="1">
        <f t="shared" ca="1" si="4"/>
        <v>2.254828216123269E-2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1.0655163487855189E-2</v>
      </c>
    </row>
    <row r="8" spans="1:35">
      <c r="A8" s="5"/>
      <c r="B8" s="25"/>
      <c r="C8" s="25"/>
      <c r="E8" t="s">
        <v>110</v>
      </c>
      <c r="F8">
        <f ca="1">SUMXMY2(E4:E6,F4:F6)</f>
        <v>9505448.5453321338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0.20363299727562001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1.5625829326748903</v>
      </c>
      <c r="E27" s="41">
        <f ca="1">f1_/(F4/(f1_*365*re*phib))</f>
        <v>137.71284947495315</v>
      </c>
      <c r="F27" s="106">
        <f ca="1">F4/E27</f>
        <v>161.09705141225479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2.4092698273042324E-2</v>
      </c>
      <c r="C29" s="35">
        <f ca="1">CHOOSE(C$25,E38,E41,1)</f>
        <v>0.28388883207834081</v>
      </c>
      <c r="E29" s="41">
        <f ca="1">f3_/(F6/(f3_*365*re*phib))</f>
        <v>16.029056510573863</v>
      </c>
      <c r="F29" s="106">
        <f t="shared" ca="1" si="22"/>
        <v>392.49223035622066</v>
      </c>
    </row>
    <row r="30" spans="1:39">
      <c r="A30" t="s">
        <v>94</v>
      </c>
      <c r="B30" s="27">
        <v>8.4866664520264701E-2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-93.602712455615418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-5.987917377371299E-2</v>
      </c>
      <c r="X31">
        <f t="shared" ca="1" si="24"/>
        <v>-8.7532109018056733E-2</v>
      </c>
      <c r="Y31">
        <f t="shared" ca="1" si="24"/>
        <v>-0.10835901600858783</v>
      </c>
      <c r="Z31">
        <f t="shared" ca="1" si="24"/>
        <v>-0.11755239189745684</v>
      </c>
      <c r="AA31">
        <f t="shared" ca="1" si="24"/>
        <v>-0.11642415307513278</v>
      </c>
      <c r="AB31">
        <f t="shared" ca="1" si="24"/>
        <v>-0.10850031071171044</v>
      </c>
      <c r="AC31">
        <f t="shared" ca="1" si="24"/>
        <v>-9.7007244412971205E-2</v>
      </c>
      <c r="AD31">
        <f t="shared" ca="1" si="24"/>
        <v>-8.4221197168351025E-2</v>
      </c>
      <c r="AE31">
        <f t="shared" ca="1" si="24"/>
        <v>-7.1555422828501025E-2</v>
      </c>
      <c r="AF31">
        <f t="shared" ca="1" si="24"/>
        <v>-5.9798913276542257E-2</v>
      </c>
      <c r="AG31">
        <f t="shared" ca="1" si="24"/>
        <v>-4.9329393650679343E-2</v>
      </c>
      <c r="AH31">
        <f t="shared" ca="1" si="24"/>
        <v>-4.0269212266321124E-2</v>
      </c>
      <c r="AI31">
        <f ca="1">(AH31*sa-AH$7*AH18*AH$10)/oa-AH$7*AH$10*flt1_*sa/oa^2</f>
        <v>-0.15614586836874611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-177.79367079111066</v>
      </c>
      <c r="H33">
        <f ca="1">Ro/(reck-1)*phie/phif^2*dphif</f>
        <v>-19495.231379170451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-0.38935153931794719</v>
      </c>
      <c r="Y33">
        <f t="shared" ca="1" si="26"/>
        <v>-0.3257671629692025</v>
      </c>
      <c r="Z33">
        <f t="shared" ca="1" si="26"/>
        <v>-0.26527396673310755</v>
      </c>
      <c r="AA33">
        <f t="shared" ca="1" si="26"/>
        <v>-0.21380657854045862</v>
      </c>
      <c r="AB33">
        <f t="shared" ca="1" si="26"/>
        <v>-0.17104520362966502</v>
      </c>
      <c r="AC33">
        <f t="shared" ca="1" si="26"/>
        <v>-0.13603631210006742</v>
      </c>
      <c r="AD33">
        <f t="shared" ca="1" si="26"/>
        <v>-0.1076676095444776</v>
      </c>
      <c r="AE33">
        <f t="shared" ca="1" si="26"/>
        <v>-8.4859872636847994E-2</v>
      </c>
      <c r="AF33">
        <f t="shared" ca="1" si="26"/>
        <v>-6.6639856271353576E-2</v>
      </c>
      <c r="AG33">
        <f t="shared" ca="1" si="26"/>
        <v>-5.2162854459811815E-2</v>
      </c>
      <c r="AH33">
        <f t="shared" ca="1" si="26"/>
        <v>-4.0713055856186564E-2</v>
      </c>
      <c r="AI33">
        <f ca="1">(AH33*sa-AH$7*AH20*AH$10)/oa-AH$7*AH$10*flt3_*sa/oa^2</f>
        <v>-0.13917573018997681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51.757602954089236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0.35658537438540761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891.54007751810127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891.54007751810127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414240.99236423301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33.242674119398259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414240.99236423307</v>
      </c>
      <c r="I41" s="107">
        <f ca="1">re*phi_q3+f1_*phi_q3*$H33+f3_*re*I37</f>
        <v>249577.39331008765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8.6166059133718278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1.4652572337848051</v>
      </c>
      <c r="W46">
        <f t="shared" ca="1" si="36"/>
        <v>2.2097804176112139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2.2424653043682308</v>
      </c>
      <c r="AA46">
        <f t="shared" ca="1" si="36"/>
        <v>1.8791145355961141</v>
      </c>
      <c r="AB46">
        <f t="shared" ca="1" si="36"/>
        <v>1.5331746178019139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0.49625355222995315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</v>
      </c>
      <c r="W47">
        <f t="shared" ca="1" si="37"/>
        <v>0.27153409741632678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9.7958721521240563E-2</v>
      </c>
      <c r="AA47">
        <f t="shared" ca="1" si="37"/>
        <v>8.0086224045328822E-2</v>
      </c>
      <c r="AB47">
        <f t="shared" ca="1" si="37"/>
        <v>6.4706880887811125E-2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4.606553734834487E-2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0.34218704405467876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3.1446354757637955</v>
      </c>
      <c r="W48">
        <f t="shared" ca="1" si="39"/>
        <v>2.5907857328070203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1.2990620905880432</v>
      </c>
      <c r="AA48">
        <f t="shared" ca="1" si="39"/>
        <v>1.0620491572367934</v>
      </c>
      <c r="AB48">
        <f t="shared" ca="1" si="39"/>
        <v>0.85809874461586255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0.61088989650428227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2.9223783231261327</v>
      </c>
      <c r="I49" s="30">
        <f t="shared" ca="1" si="38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6291.2801403410385</v>
      </c>
      <c r="C50" s="19">
        <f ca="1">ye_3/SUM(ye_1,ye_2,ye_3)</f>
        <v>0.17119033232628406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36750.206947142506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499.57721456256155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514533.50960067927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1.4805868670602971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141747.90070339362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0.80090571734773519</v>
      </c>
      <c r="C55">
        <f ca="1">AVERAGE(B53:B55)/B55</f>
        <v>1.9471504541390177</v>
      </c>
      <c r="G55" s="107">
        <f t="shared" ca="1" si="41"/>
        <v>514533.50960067927</v>
      </c>
      <c r="H55" s="107">
        <f t="shared" ca="1" si="41"/>
        <v>141747.90070339362</v>
      </c>
      <c r="I55" s="107">
        <f t="shared" ca="1" si="41"/>
        <v>249577.39331008767</v>
      </c>
      <c r="J55" s="107">
        <f ca="1"/>
        <v>499.57721456256155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4.7287214946133603E-2</v>
      </c>
      <c r="C56">
        <f ca="1">AVERAGE(B56:B58)/B56</f>
        <v>1.6369318224106972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1644604658047.0205</v>
      </c>
      <c r="I57">
        <f ca="1"/>
        <v>1799654708781.2544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2.6655883152071801E-2</v>
      </c>
      <c r="C58">
        <f ca="1">AVERAGE(B56:B58)/B58</f>
        <v>2.9038972934004832</v>
      </c>
      <c r="G58">
        <f ca="1"/>
        <v>1644604658047.0205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1799654708781.2544</v>
      </c>
      <c r="H59">
        <f ca="1"/>
        <v>1240640525595.4619</v>
      </c>
      <c r="I59">
        <f ca="1"/>
        <v>1308913205111.0293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59.725623146655145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30.046114502324624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topLeftCell="A2" workbookViewId="0">
      <pane xSplit="10" topLeftCell="K1" activePane="topRight" state="frozen"/>
      <selection pane="topRight" activeCell="E5" sqref="E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24487.654004566455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9132.5017837425057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0.17119033232628397</v>
      </c>
      <c r="E6" s="46">
        <v>7083</v>
      </c>
      <c r="F6" s="46">
        <f ca="1">ye_3</f>
        <v>6944.230824932707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0.26465786010982062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0.73755984497438787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0.34809491303599066</v>
      </c>
      <c r="R7" s="1">
        <f t="shared" ca="1" si="4"/>
        <v>0.28666981637689487</v>
      </c>
      <c r="S7" s="1">
        <f t="shared" ca="1" si="4"/>
        <v>0.23367420616045259</v>
      </c>
      <c r="T7" s="1">
        <f t="shared" ca="1" si="4"/>
        <v>0.18995007177435672</v>
      </c>
      <c r="U7" s="1">
        <f t="shared" ca="1" si="4"/>
        <v>0.15371750241926116</v>
      </c>
      <c r="V7" s="1">
        <f t="shared" ca="1" si="4"/>
        <v>0.12271909263749582</v>
      </c>
      <c r="W7" s="1">
        <f t="shared" ca="1" si="4"/>
        <v>9.5288835987713469E-2</v>
      </c>
      <c r="X7" s="1">
        <f t="shared" ca="1" si="4"/>
        <v>7.1286104490039373E-2</v>
      </c>
      <c r="Y7" s="1">
        <f t="shared" ca="1" si="4"/>
        <v>5.166383247085729E-2</v>
      </c>
      <c r="Z7" s="1">
        <f t="shared" ca="1" si="4"/>
        <v>3.6774757093103155E-2</v>
      </c>
      <c r="AA7" s="1">
        <f t="shared" ca="1" si="4"/>
        <v>2.5915622362892535E-2</v>
      </c>
      <c r="AB7" s="1">
        <f t="shared" ca="1" si="4"/>
        <v>1.8185564584877897E-2</v>
      </c>
      <c r="AC7" s="1">
        <f t="shared" ca="1" si="4"/>
        <v>1.2739352522182206E-2</v>
      </c>
      <c r="AD7" s="1">
        <f t="shared" ca="1" si="4"/>
        <v>8.9181376471470335E-3</v>
      </c>
      <c r="AE7" s="1">
        <f t="shared" ca="1" si="4"/>
        <v>6.241461908687013E-3</v>
      </c>
      <c r="AF7" s="1">
        <f t="shared" ca="1" si="4"/>
        <v>4.3677134580143873E-3</v>
      </c>
      <c r="AG7" s="1">
        <f t="shared" ca="1" si="4"/>
        <v>3.0563642027834001E-3</v>
      </c>
      <c r="AH7" s="1">
        <f t="shared" ca="1" si="4"/>
        <v>2.1387003848620826E-3</v>
      </c>
      <c r="AI7" s="1">
        <f ca="1">AH7*EXP(-AH8)/(1-EXP(-AI8))</f>
        <v>4.9843566083322454E-3</v>
      </c>
    </row>
    <row r="8" spans="1:35">
      <c r="A8" s="5"/>
      <c r="B8" s="25"/>
      <c r="C8" s="25"/>
      <c r="E8" t="s">
        <v>110</v>
      </c>
      <c r="F8">
        <f ca="1">SUMXMY2(E4:E6,F4:F6)</f>
        <v>292021.98613287107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0.15407718613123417</v>
      </c>
      <c r="M8" s="1">
        <f t="shared" ca="1" si="5"/>
        <v>0.17771778388825357</v>
      </c>
      <c r="N8" s="1">
        <f t="shared" ca="1" si="5"/>
        <v>0.19498879870488017</v>
      </c>
      <c r="O8" s="1">
        <f t="shared" ca="1" si="5"/>
        <v>0.19548341707276354</v>
      </c>
      <c r="P8" s="1">
        <f t="shared" ca="1" si="5"/>
        <v>0.18268204978669481</v>
      </c>
      <c r="Q8" s="1">
        <f t="shared" ca="1" si="5"/>
        <v>0.19414409331688545</v>
      </c>
      <c r="R8" s="1">
        <f t="shared" ca="1" si="5"/>
        <v>0.20440322401249245</v>
      </c>
      <c r="S8" s="1">
        <f t="shared" ca="1" si="5"/>
        <v>0.20716660637507986</v>
      </c>
      <c r="T8" s="1">
        <f t="shared" ca="1" si="5"/>
        <v>0.21164473952595519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0.33994631009620863</v>
      </c>
      <c r="Z8" s="1">
        <f t="shared" ca="1" si="5"/>
        <v>0.34996569434755997</v>
      </c>
      <c r="AA8" s="1">
        <f t="shared" ca="1" si="5"/>
        <v>0.35421784220787556</v>
      </c>
      <c r="AB8" s="1">
        <f t="shared" ca="1" si="5"/>
        <v>0.3559322982742823</v>
      </c>
      <c r="AC8" s="1">
        <f t="shared" ca="1" si="5"/>
        <v>0.35660868557644776</v>
      </c>
      <c r="AD8" s="1">
        <f t="shared" ca="1" si="5"/>
        <v>0.35687270566107809</v>
      </c>
      <c r="AE8" s="1">
        <f t="shared" ca="1" si="5"/>
        <v>0.35697479916092989</v>
      </c>
      <c r="AF8" s="1">
        <f t="shared" ca="1" si="5"/>
        <v>0.35701359551256934</v>
      </c>
      <c r="AG8" s="1">
        <f t="shared" ca="1" si="5"/>
        <v>0.35702769274586094</v>
      </c>
      <c r="AH8" s="1">
        <f t="shared" ca="1" si="5"/>
        <v>0.35703215881710104</v>
      </c>
      <c r="AI8" s="1">
        <f t="shared" ca="1" si="5"/>
        <v>0.35703287033438158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0.85720585405435878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0.83303297664754283</v>
      </c>
      <c r="Q10" s="1">
        <f t="shared" ca="1" si="6"/>
        <v>0.82353922921951794</v>
      </c>
      <c r="R10" s="1">
        <f t="shared" ca="1" si="6"/>
        <v>0.81513362346188867</v>
      </c>
      <c r="S10" s="1">
        <f t="shared" ca="1" si="6"/>
        <v>0.81288420701396258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0.71180853866865534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0.69979013281092051</v>
      </c>
      <c r="AF10" s="1">
        <f t="shared" ca="1" si="6"/>
        <v>0.69976298403349435</v>
      </c>
      <c r="AG10" s="1">
        <f t="shared" ca="1" si="6"/>
        <v>0.69975311938099194</v>
      </c>
      <c r="AH10" s="1">
        <f t="shared" ca="1" si="6"/>
        <v>0.69974999424068884</v>
      </c>
      <c r="AI10" s="1">
        <f t="shared" ca="1" si="6"/>
        <v>0.69974949635665296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0.28363576736936597</v>
      </c>
      <c r="J11" t="s">
        <v>56</v>
      </c>
      <c r="K11" s="1">
        <f ca="1">1-sa</f>
        <v>0.13957675220494214</v>
      </c>
      <c r="L11" s="1">
        <f t="shared" ref="L11:AI11" ca="1" si="7">1-sa</f>
        <v>0.14279414594564122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0.16696702335245717</v>
      </c>
      <c r="Q11" s="1">
        <f t="shared" ca="1" si="7"/>
        <v>0.17646077078048206</v>
      </c>
      <c r="R11" s="1">
        <f t="shared" ca="1" si="7"/>
        <v>0.18486637653811133</v>
      </c>
      <c r="S11" s="1">
        <f t="shared" ca="1" si="7"/>
        <v>0.18711579298603742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0.28819146133134466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0.30020986718907949</v>
      </c>
      <c r="AF11" s="1">
        <f t="shared" ca="1" si="7"/>
        <v>0.30023701596650565</v>
      </c>
      <c r="AG11" s="1">
        <f t="shared" ca="1" si="7"/>
        <v>0.30024688061900806</v>
      </c>
      <c r="AH11" s="1">
        <f t="shared" ca="1" si="7"/>
        <v>0.30025000575931116</v>
      </c>
      <c r="AI11" s="1">
        <f t="shared" ca="1" si="7"/>
        <v>0.30025050364334704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0.55044115511719194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0.16592307751344212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0.26465786010982062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1.8317494830052891E-2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1.9360081360862391E-5</v>
      </c>
      <c r="M22" s="1">
        <f t="shared" ca="1" si="17"/>
        <v>1.4883748448997299E-4</v>
      </c>
      <c r="N22" s="1">
        <f t="shared" ca="1" si="17"/>
        <v>8.1743926359859704E-4</v>
      </c>
      <c r="O22" s="1">
        <f t="shared" ca="1" si="17"/>
        <v>3.7387585920238726E-3</v>
      </c>
      <c r="P22" s="1">
        <f t="shared" ca="1" si="17"/>
        <v>1.5219713485545268E-2</v>
      </c>
      <c r="Q22" s="1">
        <f t="shared" ca="1" si="17"/>
        <v>5.6150303576070482E-2</v>
      </c>
      <c r="R22" s="1">
        <f t="shared" ca="1" si="17"/>
        <v>0.19387515157597354</v>
      </c>
      <c r="S22" s="1">
        <f t="shared" ca="1" si="17"/>
        <v>0.63320355557127472</v>
      </c>
      <c r="T22" s="1">
        <f t="shared" ca="1" si="17"/>
        <v>1.9339735053852365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45.558638509206816</v>
      </c>
      <c r="Z22" s="1">
        <f t="shared" ca="1" si="17"/>
        <v>53.556587977115029</v>
      </c>
      <c r="AA22" s="1">
        <f t="shared" ca="1" si="17"/>
        <v>60.238187219548806</v>
      </c>
      <c r="AB22" s="1">
        <f t="shared" ca="1" si="17"/>
        <v>66.198755547236615</v>
      </c>
      <c r="AC22" s="1">
        <f t="shared" ca="1" si="17"/>
        <v>71.75156948461597</v>
      </c>
      <c r="AD22" s="1">
        <f t="shared" ca="1" si="17"/>
        <v>77.034043493867259</v>
      </c>
      <c r="AE22" s="1">
        <f t="shared" ca="1" si="17"/>
        <v>82.098559403943781</v>
      </c>
      <c r="AF22" s="1">
        <f t="shared" ca="1" si="17"/>
        <v>86.96107253258775</v>
      </c>
      <c r="AG22" s="1">
        <f t="shared" ca="1" si="17"/>
        <v>91.623668278695234</v>
      </c>
      <c r="AH22" s="1">
        <f t="shared" ca="1" si="17"/>
        <v>96.084313769283682</v>
      </c>
      <c r="AI22" s="1">
        <f t="shared" ca="1" si="17"/>
        <v>100.34080989113325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3.8923952920294574E-2</v>
      </c>
      <c r="M23" s="1">
        <f t="shared" ca="1" si="18"/>
        <v>0.79988447549817554</v>
      </c>
      <c r="N23" s="1">
        <f t="shared" ca="1" si="18"/>
        <v>2.7516225537514747</v>
      </c>
      <c r="O23" s="1">
        <f t="shared" ca="1" si="18"/>
        <v>4.7388694670856868</v>
      </c>
      <c r="P23" s="1">
        <f t="shared" ca="1" si="18"/>
        <v>5.5451676078242524</v>
      </c>
      <c r="Q23" s="1">
        <f t="shared" ca="1" si="18"/>
        <v>7.340492612506762</v>
      </c>
      <c r="R23" s="1">
        <f t="shared" ca="1" si="18"/>
        <v>9.1350700134265761</v>
      </c>
      <c r="S23" s="1">
        <f t="shared" ca="1" si="18"/>
        <v>10.881576181089812</v>
      </c>
      <c r="T23" s="1">
        <f t="shared" ca="1" si="18"/>
        <v>12.478125060922167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16.446358725668215</v>
      </c>
      <c r="Z23" s="1">
        <f t="shared" ca="1" si="18"/>
        <v>18.195855302916716</v>
      </c>
      <c r="AA23" s="1">
        <f t="shared" ca="1" si="18"/>
        <v>19.967268472056983</v>
      </c>
      <c r="AB23" s="1">
        <f t="shared" ca="1" si="18"/>
        <v>21.729556772310062</v>
      </c>
      <c r="AC23" s="1">
        <f t="shared" ca="1" si="18"/>
        <v>23.462202423072409</v>
      </c>
      <c r="AD23" s="1">
        <f t="shared" ca="1" si="18"/>
        <v>25.151992639049215</v>
      </c>
      <c r="AE23" s="1">
        <f t="shared" ca="1" si="18"/>
        <v>26.790144239262251</v>
      </c>
      <c r="AF23" s="1">
        <f t="shared" ca="1" si="18"/>
        <v>28.370655309669001</v>
      </c>
      <c r="AG23" s="1">
        <f t="shared" ca="1" si="18"/>
        <v>29.889429641479008</v>
      </c>
      <c r="AH23" s="1">
        <f t="shared" ca="1" si="18"/>
        <v>31.343789883745895</v>
      </c>
      <c r="AI23" s="1">
        <f t="shared" ca="1" si="18"/>
        <v>32.732175726260131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9.9326286214240778E-4</v>
      </c>
      <c r="M24" s="1">
        <f t="shared" ca="1" si="19"/>
        <v>1.0637117439866102E-2</v>
      </c>
      <c r="N24" s="1">
        <f t="shared" ca="1" si="19"/>
        <v>8.0651598905731828E-2</v>
      </c>
      <c r="O24" s="1">
        <f t="shared" ca="1" si="19"/>
        <v>0.49186943898922891</v>
      </c>
      <c r="P24" s="1">
        <f t="shared" ca="1" si="19"/>
        <v>0.27022161457834731</v>
      </c>
      <c r="Q24" s="1">
        <f t="shared" ca="1" si="19"/>
        <v>5.9681734960742308</v>
      </c>
      <c r="R24" s="1">
        <f t="shared" ca="1" si="19"/>
        <v>14.408709040160071</v>
      </c>
      <c r="S24" s="1">
        <f t="shared" ca="1" si="19"/>
        <v>19.828633735591417</v>
      </c>
      <c r="T24" s="1">
        <f t="shared" ca="1" si="19"/>
        <v>23.26634124490538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28.042347196354285</v>
      </c>
      <c r="Z24" s="1">
        <f t="shared" ca="1" si="19"/>
        <v>31.025377741679002</v>
      </c>
      <c r="AA24" s="1">
        <f t="shared" ca="1" si="19"/>
        <v>34.045777815994384</v>
      </c>
      <c r="AB24" s="1">
        <f t="shared" ca="1" si="19"/>
        <v>37.050619264493299</v>
      </c>
      <c r="AC24" s="1">
        <f t="shared" ca="1" si="19"/>
        <v>40.004917642474048</v>
      </c>
      <c r="AD24" s="1">
        <f t="shared" ca="1" si="19"/>
        <v>42.88614410213215</v>
      </c>
      <c r="AE24" s="1">
        <f t="shared" ca="1" si="19"/>
        <v>45.679322622660308</v>
      </c>
      <c r="AF24" s="1">
        <f t="shared" ca="1" si="19"/>
        <v>48.374219464163239</v>
      </c>
      <c r="AG24" s="1">
        <f t="shared" ca="1" si="19"/>
        <v>50.963850265481959</v>
      </c>
      <c r="AH24" s="1">
        <f t="shared" ca="1" si="19"/>
        <v>53.443649930715452</v>
      </c>
      <c r="AI24" s="1">
        <f t="shared" ca="1" si="19"/>
        <v>55.810958007093632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4.1614369404162931E-5</v>
      </c>
      <c r="M26">
        <f t="shared" ca="1" si="20"/>
        <v>1.055378752220728E-4</v>
      </c>
      <c r="N26">
        <f t="shared" ca="1" si="20"/>
        <v>2.684613275145134E-4</v>
      </c>
      <c r="O26">
        <f t="shared" ca="1" si="20"/>
        <v>6.882759827569661E-4</v>
      </c>
      <c r="P26">
        <f t="shared" ca="1" si="20"/>
        <v>1.7747028978357723E-3</v>
      </c>
      <c r="Q26">
        <f t="shared" ca="1" si="20"/>
        <v>4.5142170202072196E-3</v>
      </c>
      <c r="R26">
        <f t="shared" ca="1" si="20"/>
        <v>1.1435389428486946E-2</v>
      </c>
      <c r="S26">
        <f t="shared" ca="1" si="20"/>
        <v>2.8730652752654955E-2</v>
      </c>
      <c r="T26">
        <f t="shared" ca="1" si="20"/>
        <v>7.0063042202891543E-2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0.76607092066293681</v>
      </c>
      <c r="Z26">
        <f t="shared" ca="1" si="20"/>
        <v>0.81013534835615753</v>
      </c>
      <c r="AA26">
        <f t="shared" ca="1" si="20"/>
        <v>0.8287072189596828</v>
      </c>
      <c r="AB26">
        <f t="shared" ca="1" si="20"/>
        <v>0.83617376821888501</v>
      </c>
      <c r="AC26">
        <f t="shared" ca="1" si="20"/>
        <v>0.83911606671009009</v>
      </c>
      <c r="AD26">
        <f t="shared" ca="1" si="20"/>
        <v>0.84026403711567688</v>
      </c>
      <c r="AE26">
        <f t="shared" ca="1" si="20"/>
        <v>0.84070786533170938</v>
      </c>
      <c r="AF26">
        <f t="shared" ca="1" si="20"/>
        <v>0.84087651213253334</v>
      </c>
      <c r="AG26">
        <f t="shared" ca="1" si="20"/>
        <v>0.84093779089637066</v>
      </c>
      <c r="AH26">
        <f t="shared" ca="1" si="20"/>
        <v>0.84095720412886921</v>
      </c>
      <c r="AI26">
        <f t="shared" ca="1" si="20"/>
        <v>0.84096029696260588</v>
      </c>
      <c r="AM26" s="43"/>
    </row>
    <row r="27" spans="1:39">
      <c r="A27" t="s">
        <v>14</v>
      </c>
      <c r="B27" s="27">
        <f ca="1">fbar*C27</f>
        <v>0.17733080709272395</v>
      </c>
      <c r="C27" s="35">
        <f ca="1">CHOOSE(C$25,E36,E39,1)</f>
        <v>2.1358168973407965</v>
      </c>
      <c r="E27" s="41">
        <f ca="1">f1_/(F4/(f1_*365*re*phib))</f>
        <v>214.2870178070838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8.3666784519299736E-2</v>
      </c>
      <c r="M27">
        <f t="shared" ca="1" si="21"/>
        <v>0.56718311423011691</v>
      </c>
      <c r="N27">
        <f t="shared" ca="1" si="21"/>
        <v>0.90368089287394027</v>
      </c>
      <c r="O27">
        <f t="shared" ca="1" si="21"/>
        <v>0.87238851060714739</v>
      </c>
      <c r="P27">
        <f t="shared" ca="1" si="21"/>
        <v>0.64659725900472087</v>
      </c>
      <c r="Q27">
        <f t="shared" ca="1" si="21"/>
        <v>0.5901406506768232</v>
      </c>
      <c r="R27">
        <f t="shared" ca="1" si="21"/>
        <v>0.53881625474366468</v>
      </c>
      <c r="S27">
        <f t="shared" ca="1" si="21"/>
        <v>0.49373504603649015</v>
      </c>
      <c r="T27">
        <f t="shared" ca="1" si="21"/>
        <v>0.45205138556549235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0.2765463934568515</v>
      </c>
      <c r="Z27">
        <f t="shared" ca="1" si="21"/>
        <v>0.27524355324438537</v>
      </c>
      <c r="AA27">
        <f t="shared" ca="1" si="21"/>
        <v>0.2746931853276251</v>
      </c>
      <c r="AB27">
        <f t="shared" ca="1" si="21"/>
        <v>0.274471705968303</v>
      </c>
      <c r="AC27">
        <f t="shared" ca="1" si="21"/>
        <v>0.27438439542183957</v>
      </c>
      <c r="AD27">
        <f t="shared" ca="1" si="21"/>
        <v>0.27435032510105484</v>
      </c>
      <c r="AE27">
        <f t="shared" ca="1" si="21"/>
        <v>0.27433715206258336</v>
      </c>
      <c r="AF27">
        <f t="shared" ca="1" si="21"/>
        <v>0.27433214642987458</v>
      </c>
      <c r="AG27">
        <f t="shared" ca="1" si="21"/>
        <v>0.27433032758962783</v>
      </c>
      <c r="AH27">
        <f t="shared" ca="1" si="21"/>
        <v>0.2743297513757556</v>
      </c>
      <c r="AI27">
        <f t="shared" ca="1" si="21"/>
        <v>0.27432965957573291</v>
      </c>
    </row>
    <row r="28" spans="1:39">
      <c r="A28" t="s">
        <v>15</v>
      </c>
      <c r="B28" s="27">
        <f ca="1">fbar*C28</f>
        <v>4.4375909939816181E-2</v>
      </c>
      <c r="C28" s="35">
        <f ca="1">CHOOSE(C$25,E37,E40,1)</f>
        <v>0.53447463437514431</v>
      </c>
      <c r="E28" s="41">
        <f ca="1">f2_/(F5/(f2_*365*re*phib))</f>
        <v>35.981514314308605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2.1350120844114626E-3</v>
      </c>
      <c r="M28">
        <f t="shared" ca="1" si="22"/>
        <v>7.542580936099821E-3</v>
      </c>
      <c r="N28">
        <f t="shared" ca="1" si="22"/>
        <v>2.6487393342330277E-2</v>
      </c>
      <c r="O28">
        <f t="shared" ca="1" si="22"/>
        <v>9.0549286126860876E-2</v>
      </c>
      <c r="P28">
        <f t="shared" ca="1" si="22"/>
        <v>3.1509337078225105E-2</v>
      </c>
      <c r="Q28">
        <f t="shared" ca="1" si="22"/>
        <v>0.47981272868860508</v>
      </c>
      <c r="R28">
        <f t="shared" ca="1" si="22"/>
        <v>0.84987270259553049</v>
      </c>
      <c r="S28">
        <f t="shared" ca="1" si="22"/>
        <v>0.89969423798147163</v>
      </c>
      <c r="T28">
        <f t="shared" ca="1" si="22"/>
        <v>0.84288158240511823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0.47153355405736125</v>
      </c>
      <c r="Z28">
        <f t="shared" ca="1" si="22"/>
        <v>0.46931210807112445</v>
      </c>
      <c r="AA28">
        <f t="shared" ca="1" si="22"/>
        <v>0.46837368708293103</v>
      </c>
      <c r="AB28">
        <f t="shared" ca="1" si="22"/>
        <v>0.46799604719348575</v>
      </c>
      <c r="AC28">
        <f t="shared" ca="1" si="22"/>
        <v>0.46784717578075119</v>
      </c>
      <c r="AD28">
        <f t="shared" ca="1" si="22"/>
        <v>0.46778908317919293</v>
      </c>
      <c r="AE28">
        <f t="shared" ca="1" si="22"/>
        <v>0.46776662210287745</v>
      </c>
      <c r="AF28">
        <f t="shared" ca="1" si="22"/>
        <v>0.46775808710174432</v>
      </c>
      <c r="AG28">
        <f t="shared" ca="1" si="22"/>
        <v>0.46775498583473785</v>
      </c>
      <c r="AH28">
        <f t="shared" ca="1" si="22"/>
        <v>0.46775400334434381</v>
      </c>
      <c r="AI28">
        <f t="shared" ca="1" si="22"/>
        <v>0.46775384681801779</v>
      </c>
    </row>
    <row r="29" spans="1:39">
      <c r="A29" t="s">
        <v>19</v>
      </c>
      <c r="B29" s="27">
        <f ca="1">fbar*C29</f>
        <v>2.7374757105308529E-2</v>
      </c>
      <c r="C29" s="35">
        <f ca="1">CHOOSE(C$25,E38,E41,1)</f>
        <v>0.32970846828405942</v>
      </c>
      <c r="E29" s="41">
        <f ca="1">f3_/(F6/(f3_*365*re*phib))</f>
        <v>18.007402016540116</v>
      </c>
    </row>
    <row r="30" spans="1:39">
      <c r="A30" t="s">
        <v>94</v>
      </c>
      <c r="B30" s="27">
        <v>8.3027158045949553E-2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0.24908147413784867</v>
      </c>
      <c r="G31">
        <f ca="1">SUMPRODUCT(dlz1_,wa,ma)</f>
        <v>-66.848672909861136</v>
      </c>
      <c r="H31">
        <f ca="1">Ro/(reck-1)*phie/phif^2*dphif</f>
        <v>-8841.4247781274698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-1.0874496700883636E-4</v>
      </c>
      <c r="O31">
        <f t="shared" ca="1" si="23"/>
        <v>-2.3956608718024512E-4</v>
      </c>
      <c r="P31">
        <f t="shared" ca="1" si="23"/>
        <v>-5.1619895921570951E-4</v>
      </c>
      <c r="Q31">
        <f t="shared" ca="1" si="23"/>
        <v>-1.1010195241920964E-3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-9.96014928693836E-3</v>
      </c>
      <c r="U31">
        <f t="shared" ca="1" si="23"/>
        <v>-1.990138828729119E-2</v>
      </c>
      <c r="V31">
        <f t="shared" ca="1" si="23"/>
        <v>-3.727337458830398E-2</v>
      </c>
      <c r="W31">
        <f t="shared" ca="1" si="23"/>
        <v>-6.188858555855857E-2</v>
      </c>
      <c r="X31">
        <f t="shared" ca="1" si="23"/>
        <v>-8.6726747031121695E-2</v>
      </c>
      <c r="Y31">
        <f t="shared" ca="1" si="23"/>
        <v>-0.10229432730133593</v>
      </c>
      <c r="Z31">
        <f t="shared" ca="1" si="23"/>
        <v>-0.10531941921003773</v>
      </c>
      <c r="AA31">
        <f t="shared" ca="1" si="23"/>
        <v>-9.8787764935441322E-2</v>
      </c>
      <c r="AB31">
        <f t="shared" ca="1" si="23"/>
        <v>-8.7099686265665166E-2</v>
      </c>
      <c r="AC31">
        <f t="shared" ca="1" si="23"/>
        <v>-7.3634106793823859E-2</v>
      </c>
      <c r="AD31">
        <f t="shared" ca="1" si="23"/>
        <v>-6.0430486304834045E-2</v>
      </c>
      <c r="AE31">
        <f t="shared" ca="1" si="23"/>
        <v>-4.8524481948209096E-2</v>
      </c>
      <c r="AF31">
        <f t="shared" ca="1" si="23"/>
        <v>-3.8321918924664175E-2</v>
      </c>
      <c r="AG31">
        <f t="shared" ca="1" si="23"/>
        <v>-2.9871913945975121E-2</v>
      </c>
      <c r="AH31">
        <f t="shared" ca="1" si="23"/>
        <v>-2.3041509302971015E-2</v>
      </c>
      <c r="AI31">
        <f ca="1">(AH31*sa-AH$7*AH18*AH$10)/oa-AH$7*AH$10*flt1_*sa/oa^2</f>
        <v>-7.0300080422182498E-2</v>
      </c>
    </row>
    <row r="32" spans="1:39">
      <c r="A32" s="11" t="s">
        <v>22</v>
      </c>
      <c r="B32" s="11"/>
      <c r="C32" s="11"/>
      <c r="G32">
        <f ca="1">SUMPRODUCT(dlz2_,wa,ma)</f>
        <v>-170.04456820852704</v>
      </c>
      <c r="H32">
        <f ca="1">Ro/(reck-1)*phie/phif^2*dphif</f>
        <v>-22490.143682763806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-0.44119165140935934</v>
      </c>
      <c r="O32">
        <f t="shared" ca="1" si="24"/>
        <v>-0.86821300433379911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-1.141790058882564</v>
      </c>
      <c r="S32">
        <f t="shared" ca="1" si="24"/>
        <v>-1.0673565825866189</v>
      </c>
      <c r="T32">
        <f t="shared" ca="1" si="24"/>
        <v>-0.96759535123688234</v>
      </c>
      <c r="U32">
        <f t="shared" ca="1" si="24"/>
        <v>-0.84957252891428836</v>
      </c>
      <c r="V32">
        <f t="shared" ca="1" si="24"/>
        <v>-0.71615358754291947</v>
      </c>
      <c r="W32">
        <f t="shared" ca="1" si="24"/>
        <v>-0.57599700021930555</v>
      </c>
      <c r="X32">
        <f t="shared" ca="1" si="24"/>
        <v>-0.4450684669055382</v>
      </c>
      <c r="Y32">
        <f t="shared" ca="1" si="24"/>
        <v>-0.33517109724865518</v>
      </c>
      <c r="Z32">
        <f t="shared" ca="1" si="24"/>
        <v>-0.24819547523911126</v>
      </c>
      <c r="AA32">
        <f t="shared" ca="1" si="24"/>
        <v>-0.1826181808444457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-3.781338342560852E-2</v>
      </c>
      <c r="AG32">
        <f t="shared" ca="1" si="24"/>
        <v>-2.7457049460859553E-2</v>
      </c>
      <c r="AH32">
        <f t="shared" ca="1" si="24"/>
        <v>-1.9910735576171693E-2</v>
      </c>
      <c r="AI32">
        <f ca="1">(AH32*sa-AH$7*AH19*AH$10)/oa-AH$7*AH$10*flt2_*sa/oa^2</f>
        <v>-5.1818311007088558E-2</v>
      </c>
    </row>
    <row r="33" spans="1:35">
      <c r="A33" s="58" t="s">
        <v>127</v>
      </c>
      <c r="B33" s="59">
        <f ca="1">SUMPRODUCT(lz,wa)</f>
        <v>60.499614666018886</v>
      </c>
      <c r="C33" s="58"/>
      <c r="D33" s="60"/>
      <c r="E33" s="60"/>
      <c r="G33">
        <f ca="1">SUMPRODUCT(dlz3_,wa,ma)</f>
        <v>-149.11236131531214</v>
      </c>
      <c r="H33">
        <f ca="1">Ro/(reck-1)*phie/phif^2*dphif</f>
        <v>-19721.643955983738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-6.8623676153447503E-3</v>
      </c>
      <c r="O33">
        <f t="shared" ca="1" si="25"/>
        <v>-2.0456269444451194E-2</v>
      </c>
      <c r="P33">
        <f t="shared" ca="1" si="25"/>
        <v>-5.8696780838790263E-2</v>
      </c>
      <c r="Q33">
        <f t="shared" ca="1" si="25"/>
        <v>-6.0339678268901457E-2</v>
      </c>
      <c r="R33">
        <f t="shared" ca="1" si="25"/>
        <v>-0.20051654222613255</v>
      </c>
      <c r="S33">
        <f t="shared" ca="1" si="25"/>
        <v>-0.38257758389408636</v>
      </c>
      <c r="T33">
        <f t="shared" ca="1" si="25"/>
        <v>-0.49881156482393996</v>
      </c>
      <c r="U33">
        <f t="shared" ca="1" si="25"/>
        <v>-0.54198195089785617</v>
      </c>
      <c r="V33">
        <f t="shared" ca="1" si="25"/>
        <v>-0.52513335642850001</v>
      </c>
      <c r="W33">
        <f t="shared" ca="1" si="25"/>
        <v>-0.46583259169849556</v>
      </c>
      <c r="X33">
        <f t="shared" ca="1" si="25"/>
        <v>-0.38670055389274638</v>
      </c>
      <c r="Y33">
        <f t="shared" ca="1" si="25"/>
        <v>-0.30723434836505992</v>
      </c>
      <c r="Z33">
        <f t="shared" ca="1" si="25"/>
        <v>-0.23696644394041796</v>
      </c>
      <c r="AA33">
        <f t="shared" ca="1" si="25"/>
        <v>-0.18069921630540159</v>
      </c>
      <c r="AB33">
        <f t="shared" ca="1" si="25"/>
        <v>-0.13669848664043807</v>
      </c>
      <c r="AC33">
        <f t="shared" ca="1" si="25"/>
        <v>-0.10278108578561569</v>
      </c>
      <c r="AD33">
        <f t="shared" ca="1" si="25"/>
        <v>-7.6892925112455712E-2</v>
      </c>
      <c r="AE33">
        <f t="shared" ca="1" si="25"/>
        <v>-5.7280498041224946E-2</v>
      </c>
      <c r="AF33">
        <f t="shared" ca="1" si="25"/>
        <v>-4.2512155099078089E-2</v>
      </c>
      <c r="AG33">
        <f t="shared" ca="1" si="25"/>
        <v>-3.1448005343639243E-2</v>
      </c>
      <c r="AH33">
        <f t="shared" ca="1" si="25"/>
        <v>-2.3195316403981276E-2</v>
      </c>
      <c r="AI33">
        <f ca="1">(AH33*sa-AH$7*AH20*AH$10)/oa-AH$7*AH$10*flt3_*sa/oa^2</f>
        <v>-6.329141528453168E-2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26.217357988882686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5.0492711972962322E-10</v>
      </c>
      <c r="M35">
        <f t="shared" ca="1" si="26"/>
        <v>1.1009515921950273E-8</v>
      </c>
      <c r="N35">
        <f t="shared" ca="1" si="26"/>
        <v>1.6939078083748607E-7</v>
      </c>
      <c r="O35">
        <f t="shared" ca="1" si="26"/>
        <v>2.136740909002942E-6</v>
      </c>
      <c r="P35">
        <f t="shared" ca="1" si="26"/>
        <v>2.3566086423250739E-5</v>
      </c>
      <c r="Q35">
        <f t="shared" ca="1" si="26"/>
        <v>2.3190759175318026E-4</v>
      </c>
      <c r="R35">
        <f t="shared" ca="1" si="26"/>
        <v>2.1119359568149247E-3</v>
      </c>
      <c r="S35">
        <f t="shared" ca="1" si="26"/>
        <v>1.7869681392913936E-2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13.222664563766442</v>
      </c>
      <c r="X35">
        <f t="shared" ca="1" si="26"/>
        <v>26.902675757011799</v>
      </c>
      <c r="Y35">
        <f t="shared" ca="1" si="26"/>
        <v>40.165536359444403</v>
      </c>
      <c r="Z35">
        <f t="shared" ca="1" si="26"/>
        <v>50.531706018927679</v>
      </c>
      <c r="AA35">
        <f t="shared" ca="1" si="26"/>
        <v>58.559023350193328</v>
      </c>
      <c r="AB35">
        <f t="shared" ca="1" si="26"/>
        <v>65.225113479790451</v>
      </c>
      <c r="AC35">
        <f t="shared" ca="1" si="26"/>
        <v>71.151028063928791</v>
      </c>
      <c r="AD35">
        <f t="shared" ca="1" si="26"/>
        <v>76.641637095130193</v>
      </c>
      <c r="AE35">
        <f t="shared" ca="1" si="26"/>
        <v>81.830747147788188</v>
      </c>
      <c r="AF35">
        <f t="shared" ca="1" si="26"/>
        <v>86.772995328893501</v>
      </c>
      <c r="AG35">
        <f t="shared" ca="1" si="26"/>
        <v>91.489282696348127</v>
      </c>
      <c r="AH35">
        <f t="shared" ca="1" si="26"/>
        <v>95.987270761656248</v>
      </c>
      <c r="AI35">
        <f t="shared" ca="1" si="26"/>
        <v>100.1055798880432</v>
      </c>
    </row>
    <row r="36" spans="1:35">
      <c r="A36" t="s">
        <v>33</v>
      </c>
      <c r="B36" s="1">
        <f ca="1">SUMPRODUCT(lz,ta1_)</f>
        <v>0.32757542724087341</v>
      </c>
      <c r="C36" s="28">
        <f ca="1">B11/(phi_t1/SUM(B$36:B$38))</f>
        <v>4.1750065860662469</v>
      </c>
      <c r="E36" s="37">
        <f ca="1">C36/AVERAGE(C$36:C$38)</f>
        <v>2.282189214557909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862.96038765673063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2.0410245019781659E-3</v>
      </c>
      <c r="M36">
        <f t="shared" ca="1" si="27"/>
        <v>0.31797876401714165</v>
      </c>
      <c r="N36">
        <f t="shared" ca="1" si="27"/>
        <v>1.919360278610859</v>
      </c>
      <c r="O36">
        <f t="shared" ca="1" si="27"/>
        <v>3.4327842505551374</v>
      </c>
      <c r="P36">
        <f t="shared" ca="1" si="27"/>
        <v>3.1282673912263839</v>
      </c>
      <c r="Q36">
        <f t="shared" ca="1" si="27"/>
        <v>3.9633384503455247</v>
      </c>
      <c r="R36">
        <f t="shared" ca="1" si="27"/>
        <v>4.6887837593406374</v>
      </c>
      <c r="S36">
        <f t="shared" ca="1" si="27"/>
        <v>5.277323695757719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5.9014489596109669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5.2342156834157967</v>
      </c>
      <c r="Z36">
        <f t="shared" ca="1" si="27"/>
        <v>5.8328808932098442</v>
      </c>
      <c r="AA36">
        <f t="shared" ca="1" si="27"/>
        <v>6.4340932623799194</v>
      </c>
      <c r="AB36">
        <f t="shared" ca="1" si="27"/>
        <v>7.027760108825821</v>
      </c>
      <c r="AC36">
        <f t="shared" ca="1" si="27"/>
        <v>7.6077445917436046</v>
      </c>
      <c r="AD36">
        <f t="shared" ca="1" si="27"/>
        <v>8.1704161715872328</v>
      </c>
      <c r="AE36">
        <f t="shared" ca="1" si="27"/>
        <v>8.7135584170306011</v>
      </c>
      <c r="AF36">
        <f t="shared" ca="1" si="27"/>
        <v>9.2357793526131875</v>
      </c>
      <c r="AG36">
        <f t="shared" ca="1" si="27"/>
        <v>9.7362143683899678</v>
      </c>
      <c r="AH36">
        <f t="shared" ca="1" si="27"/>
        <v>10.214372047375502</v>
      </c>
      <c r="AI36">
        <f t="shared" ca="1" si="27"/>
        <v>10.652531564541089</v>
      </c>
    </row>
    <row r="37" spans="1:35">
      <c r="A37" t="s">
        <v>34</v>
      </c>
      <c r="B37" s="1">
        <f ca="1">SUMPRODUCT(lz,ta2_)</f>
        <v>2.540376794941964</v>
      </c>
      <c r="C37" s="28">
        <f ca="1">B12/(phi_t2/SUM(B$36:B$38))</f>
        <v>0.85570564988588982</v>
      </c>
      <c r="E37" s="37">
        <f ca="1">C37/AVERAGE(C$36:C$38)</f>
        <v>0.46775547888317909</v>
      </c>
      <c r="G37" s="1">
        <f ca="1">SUM(dqa31_)</f>
        <v>865.1556922531023</v>
      </c>
      <c r="H37" s="1">
        <f ca="1">SUM(dqa32_)</f>
        <v>862.96038765673063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1.3290543351448646E-6</v>
      </c>
      <c r="M37">
        <f t="shared" ca="1" si="28"/>
        <v>5.6233030540588127E-5</v>
      </c>
      <c r="N37">
        <f t="shared" ca="1" si="28"/>
        <v>1.648939589178349E-3</v>
      </c>
      <c r="O37">
        <f t="shared" ca="1" si="28"/>
        <v>3.6982536624285703E-2</v>
      </c>
      <c r="P37">
        <f t="shared" ca="1" si="28"/>
        <v>7.4287318384967573E-3</v>
      </c>
      <c r="Q37">
        <f t="shared" ca="1" si="28"/>
        <v>2.6199537700694995</v>
      </c>
      <c r="R37">
        <f t="shared" ca="1" si="28"/>
        <v>11.665049520621142</v>
      </c>
      <c r="S37">
        <f t="shared" ca="1" si="28"/>
        <v>17.523292132516886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15.217412769932047</v>
      </c>
      <c r="Z37">
        <f t="shared" ca="1" si="28"/>
        <v>16.957909562469418</v>
      </c>
      <c r="AA37">
        <f t="shared" ca="1" si="28"/>
        <v>18.705811700517984</v>
      </c>
      <c r="AB37">
        <f t="shared" ca="1" si="28"/>
        <v>20.431776772766511</v>
      </c>
      <c r="AC37">
        <f t="shared" ca="1" si="28"/>
        <v>22.117963168309899</v>
      </c>
      <c r="AD37">
        <f t="shared" ca="1" si="28"/>
        <v>23.753815835122921</v>
      </c>
      <c r="AE37">
        <f t="shared" ca="1" si="28"/>
        <v>25.332890951933102</v>
      </c>
      <c r="AF37">
        <f t="shared" ca="1" si="28"/>
        <v>26.85114163446406</v>
      </c>
      <c r="AG37">
        <f t="shared" ca="1" si="28"/>
        <v>28.306054205937055</v>
      </c>
      <c r="AH37">
        <f t="shared" ca="1" si="28"/>
        <v>29.696199971861446</v>
      </c>
      <c r="AI37">
        <f t="shared" ca="1" si="28"/>
        <v>30.970059253760898</v>
      </c>
    </row>
    <row r="38" spans="1:35">
      <c r="A38" t="s">
        <v>35</v>
      </c>
      <c r="B38" s="1">
        <f ca="1">SUMPRODUCT(lz,ta3_)</f>
        <v>1.2413408028844497</v>
      </c>
      <c r="C38" s="28">
        <f ca="1">B13/(phi_t3/SUM(B$36:B$38))</f>
        <v>0.45744785099534596</v>
      </c>
      <c r="E38" s="37">
        <f ca="1">C38/AVERAGE(C$36:C$38)</f>
        <v>0.250055306558912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-7.3174716466439963E-7</v>
      </c>
      <c r="M38">
        <f t="shared" ca="1" si="29"/>
        <v>-3.2956837929808955E-5</v>
      </c>
      <c r="N38">
        <f t="shared" ca="1" si="29"/>
        <v>-2.4262659985416538E-4</v>
      </c>
      <c r="O38">
        <f t="shared" ca="1" si="29"/>
        <v>-8.796812593249826E-4</v>
      </c>
      <c r="P38">
        <f t="shared" ca="1" si="29"/>
        <v>-2.1516203498859756E-3</v>
      </c>
      <c r="Q38">
        <f t="shared" ca="1" si="29"/>
        <v>-5.861224434971191E-3</v>
      </c>
      <c r="R38">
        <f t="shared" ca="1" si="29"/>
        <v>-1.3540641839430854E-2</v>
      </c>
      <c r="S38">
        <f t="shared" ca="1" si="29"/>
        <v>-1.8904361175512842E-2</v>
      </c>
      <c r="T38">
        <f t="shared" ca="1" si="29"/>
        <v>6.1462923049829934E-2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40.806672765953756</v>
      </c>
      <c r="Z38">
        <f t="shared" ca="1" si="29"/>
        <v>51.1196464168506</v>
      </c>
      <c r="AA38">
        <f t="shared" ca="1" si="29"/>
        <v>59.042308350111426</v>
      </c>
      <c r="AB38">
        <f t="shared" ca="1" si="29"/>
        <v>65.60316491531286</v>
      </c>
      <c r="AC38">
        <f t="shared" ca="1" si="29"/>
        <v>71.439680763602041</v>
      </c>
      <c r="AD38">
        <f t="shared" ca="1" si="29"/>
        <v>76.859055118734616</v>
      </c>
      <c r="AE38">
        <f t="shared" ca="1" si="29"/>
        <v>81.993049254468431</v>
      </c>
      <c r="AF38">
        <f t="shared" ca="1" si="29"/>
        <v>86.893337936327669</v>
      </c>
      <c r="AG38">
        <f t="shared" ca="1" si="29"/>
        <v>91.578019409408412</v>
      </c>
      <c r="AH38">
        <f t="shared" ca="1" si="29"/>
        <v>96.052389936735153</v>
      </c>
      <c r="AI38">
        <f t="shared" ca="1" si="29"/>
        <v>100.26406763458147</v>
      </c>
    </row>
    <row r="39" spans="1:35">
      <c r="A39" s="1" t="s">
        <v>36</v>
      </c>
      <c r="B39" s="1">
        <f ca="1">SUMPRODUCT(lz,qa1_)</f>
        <v>18.302347642941434</v>
      </c>
      <c r="C39" s="22">
        <f ca="1">B4/(phi_q1/SUM(B$39:B$41))</f>
        <v>2.6122937050394333</v>
      </c>
      <c r="D39" s="20"/>
      <c r="E39" s="38">
        <f ca="1">C39/AVERAGE(C$39:C$41)</f>
        <v>2.1358168973407965</v>
      </c>
      <c r="G39" s="1">
        <f ca="1">re*phi_q1+f1_*phi_q1*$H31+f1_*re*G35</f>
        <v>1265165.534665264</v>
      </c>
      <c r="H39" s="1">
        <f ca="1">re*phi_q1+f1_*phi_q1*$H32+f1_*re*H35</f>
        <v>1225714.1720279702</v>
      </c>
      <c r="I39" s="1">
        <f ca="1">re*phi_q1+f1_*phi_q1*$H33+f1_*re*I35</f>
        <v>1231618.6449867121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-1.7825616818208492E-8</v>
      </c>
      <c r="M39">
        <f t="shared" ca="1" si="30"/>
        <v>-4.2135337639052201E-7</v>
      </c>
      <c r="N39">
        <f t="shared" ca="1" si="30"/>
        <v>-6.87706037440306E-6</v>
      </c>
      <c r="O39">
        <f t="shared" ca="1" si="30"/>
        <v>-8.8767279896296081E-5</v>
      </c>
      <c r="P39">
        <f t="shared" ca="1" si="30"/>
        <v>-7.6738055150665538E-5</v>
      </c>
      <c r="Q39">
        <f t="shared" ca="1" si="30"/>
        <v>-4.7133209998224106E-3</v>
      </c>
      <c r="R39">
        <f t="shared" ca="1" si="30"/>
        <v>-2.277274631882914E-2</v>
      </c>
      <c r="S39">
        <f t="shared" ca="1" si="30"/>
        <v>-5.1008919371625355E-2</v>
      </c>
      <c r="T39">
        <f t="shared" ca="1" si="30"/>
        <v>-1.5381379991153243E-2</v>
      </c>
      <c r="U39">
        <f t="shared" ca="1" si="30"/>
        <v>0.61397244469027723</v>
      </c>
      <c r="V39">
        <f t="shared" ca="1" si="30"/>
        <v>3.912796720457886</v>
      </c>
      <c r="W39">
        <f t="shared" ca="1" si="30"/>
        <v>13.114380308082527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50.90633085584949</v>
      </c>
      <c r="AA39">
        <f t="shared" ca="1" si="30"/>
        <v>58.87335436051427</v>
      </c>
      <c r="AB39">
        <f t="shared" ca="1" si="30"/>
        <v>65.472914093879936</v>
      </c>
      <c r="AC39">
        <f t="shared" ca="1" si="30"/>
        <v>71.340795652891856</v>
      </c>
      <c r="AD39">
        <f t="shared" ca="1" si="30"/>
        <v>76.784738007173345</v>
      </c>
      <c r="AE39">
        <f t="shared" ca="1" si="30"/>
        <v>81.93761910996048</v>
      </c>
      <c r="AF39">
        <f t="shared" ca="1" si="30"/>
        <v>86.852251335780522</v>
      </c>
      <c r="AG39">
        <f t="shared" ca="1" si="30"/>
        <v>91.547727065044796</v>
      </c>
      <c r="AH39">
        <f t="shared" ca="1" si="30"/>
        <v>96.030160820113196</v>
      </c>
      <c r="AI39">
        <f t="shared" ca="1" si="30"/>
        <v>100.20996649436886</v>
      </c>
    </row>
    <row r="40" spans="1:35">
      <c r="A40" s="1" t="s">
        <v>37</v>
      </c>
      <c r="B40" s="1">
        <f ca="1">SUMPRODUCT(lz,qa2_)</f>
        <v>27.276353163440191</v>
      </c>
      <c r="C40" s="22">
        <f ca="1">B5/(phi_q2/SUM(B$39:B$41))</f>
        <v>0.65370993394601806</v>
      </c>
      <c r="D40" s="20"/>
      <c r="E40" s="38">
        <f ca="1">C40/AVERAGE(C$39:C$41)</f>
        <v>0.53447463437514398</v>
      </c>
      <c r="G40" s="1">
        <f ca="1">re*phi_q1+f1_*phi_q1*$H32+f1_*re*G36</f>
        <v>1225714.1720279702</v>
      </c>
      <c r="H40" s="1">
        <f ca="1">re*phi_q2+f2_*phi_q2*$H32+f2_*re*H36</f>
        <v>225563.52924498008</v>
      </c>
      <c r="I40" s="1">
        <f ca="1">re*phi_q3+f3_*phi_q3*$H33+f3_*re*I36</f>
        <v>413758.12242903514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-7.3174716466439973E-7</v>
      </c>
      <c r="M40">
        <f t="shared" ca="1" si="31"/>
        <v>-3.2956837929808955E-5</v>
      </c>
      <c r="N40">
        <f t="shared" ca="1" si="31"/>
        <v>-2.4262659985416538E-4</v>
      </c>
      <c r="O40">
        <f t="shared" ca="1" si="31"/>
        <v>-8.796812593249826E-4</v>
      </c>
      <c r="P40">
        <f t="shared" ca="1" si="31"/>
        <v>-2.1516203498859756E-3</v>
      </c>
      <c r="Q40">
        <f t="shared" ca="1" si="31"/>
        <v>-5.861224434971191E-3</v>
      </c>
      <c r="R40">
        <f t="shared" ca="1" si="31"/>
        <v>-1.3540641839430854E-2</v>
      </c>
      <c r="S40">
        <f t="shared" ca="1" si="31"/>
        <v>-1.8904361175512835E-2</v>
      </c>
      <c r="T40">
        <f t="shared" ca="1" si="31"/>
        <v>6.1462923049829934E-2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40.806672765953756</v>
      </c>
      <c r="Z40">
        <f t="shared" ca="1" si="31"/>
        <v>51.1196464168506</v>
      </c>
      <c r="AA40">
        <f t="shared" ca="1" si="31"/>
        <v>59.042308350111426</v>
      </c>
      <c r="AB40">
        <f t="shared" ca="1" si="31"/>
        <v>65.60316491531286</v>
      </c>
      <c r="AC40">
        <f t="shared" ca="1" si="31"/>
        <v>71.439680763602041</v>
      </c>
      <c r="AD40">
        <f t="shared" ca="1" si="31"/>
        <v>76.859055118734616</v>
      </c>
      <c r="AE40">
        <f t="shared" ca="1" si="31"/>
        <v>81.993049254468431</v>
      </c>
      <c r="AF40">
        <f t="shared" ca="1" si="31"/>
        <v>86.893337936327669</v>
      </c>
      <c r="AG40">
        <f t="shared" ca="1" si="31"/>
        <v>91.578019409408412</v>
      </c>
      <c r="AH40">
        <f t="shared" ca="1" si="31"/>
        <v>96.052389936735153</v>
      </c>
      <c r="AI40">
        <f t="shared" ca="1" si="31"/>
        <v>100.26406763458147</v>
      </c>
    </row>
    <row r="41" spans="1:35">
      <c r="A41" s="1" t="s">
        <v>38</v>
      </c>
      <c r="B41" s="1">
        <f ca="1">SUMPRODUCT(lz,qa3_)</f>
        <v>33.621546391629735</v>
      </c>
      <c r="C41" s="22">
        <f ca="1">B6/(phi_q3/SUM(B$39:B$41))</f>
        <v>0.40326273158949122</v>
      </c>
      <c r="D41" s="20"/>
      <c r="E41" s="38">
        <f ca="1">C41/AVERAGE(C$39:C$41)</f>
        <v>0.32970846828405925</v>
      </c>
      <c r="G41" s="1">
        <f ca="1">re*phi_q1+f1_*phi_q1*$H33+f1_*re*G37</f>
        <v>1231618.6449867121</v>
      </c>
      <c r="H41" s="1">
        <f ca="1">re*phi_q3+f3_*phi_q3*$H33+f3_*re*H37</f>
        <v>413758.12242903514</v>
      </c>
      <c r="I41" s="1">
        <f ca="1">re*phi_q3+f1_*phi_q3*$H33+f3_*re*I37</f>
        <v>215476.29479817726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-3.7585788010074965E-5</v>
      </c>
      <c r="M41">
        <f t="shared" ca="1" si="32"/>
        <v>-2.3565674964096963E-3</v>
      </c>
      <c r="N41">
        <f t="shared" ca="1" si="32"/>
        <v>-2.3962032782169698E-2</v>
      </c>
      <c r="O41">
        <f t="shared" ca="1" si="32"/>
        <v>-0.11610035625785747</v>
      </c>
      <c r="P41">
        <f t="shared" ca="1" si="32"/>
        <v>-3.8696544622905019E-2</v>
      </c>
      <c r="Q41">
        <f t="shared" ca="1" si="32"/>
        <v>-0.6523477370936126</v>
      </c>
      <c r="R41">
        <f t="shared" ca="1" si="32"/>
        <v>-1.1860648823210846</v>
      </c>
      <c r="S41">
        <f t="shared" ca="1" si="32"/>
        <v>-1.2025801868584585</v>
      </c>
      <c r="T41">
        <f t="shared" ca="1" si="32"/>
        <v>-0.91892942042081782</v>
      </c>
      <c r="U41">
        <f t="shared" ca="1" si="32"/>
        <v>8.0547923833627411E-2</v>
      </c>
      <c r="V41">
        <f t="shared" ca="1" si="32"/>
        <v>3.8092453313576802</v>
      </c>
      <c r="W41">
        <f t="shared" ca="1" si="32"/>
        <v>13.365005458320265</v>
      </c>
      <c r="X41">
        <f t="shared" ca="1" si="32"/>
        <v>27.506589258447004</v>
      </c>
      <c r="Y41">
        <f t="shared" ca="1" si="32"/>
        <v>40.945929242804432</v>
      </c>
      <c r="Z41">
        <f t="shared" ca="1" si="32"/>
        <v>51.246925236935645</v>
      </c>
      <c r="AA41">
        <f t="shared" ca="1" si="32"/>
        <v>59.146500258299099</v>
      </c>
      <c r="AB41">
        <f t="shared" ca="1" si="32"/>
        <v>65.684504775368524</v>
      </c>
      <c r="AC41">
        <f t="shared" ca="1" si="32"/>
        <v>71.501733282000885</v>
      </c>
      <c r="AD41">
        <f t="shared" ca="1" si="32"/>
        <v>76.905778267658221</v>
      </c>
      <c r="AE41">
        <f t="shared" ca="1" si="32"/>
        <v>82.027923377747996</v>
      </c>
      <c r="AF41">
        <f t="shared" ca="1" si="32"/>
        <v>86.919194848933827</v>
      </c>
      <c r="AG41">
        <f t="shared" ca="1" si="32"/>
        <v>91.597085103665336</v>
      </c>
      <c r="AH41">
        <f t="shared" ca="1" si="32"/>
        <v>96.066381158898679</v>
      </c>
      <c r="AI41">
        <f t="shared" ca="1" si="32"/>
        <v>100.29811958956793</v>
      </c>
    </row>
    <row r="42" spans="1:35">
      <c r="A42" s="1" t="s">
        <v>95</v>
      </c>
      <c r="B42" s="1">
        <f ca="1">SUMPRODUCT(lz/SUM(lz),len,ta1_)</f>
        <v>7.5104350330022269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-1.7825616818208492E-8</v>
      </c>
      <c r="M42">
        <f t="shared" ca="1" si="33"/>
        <v>-4.2135337639052201E-7</v>
      </c>
      <c r="N42">
        <f t="shared" ca="1" si="33"/>
        <v>-6.8770603744030626E-6</v>
      </c>
      <c r="O42">
        <f t="shared" ca="1" si="33"/>
        <v>-8.8767279896296067E-5</v>
      </c>
      <c r="P42">
        <f t="shared" ca="1" si="33"/>
        <v>-7.6738055150665538E-5</v>
      </c>
      <c r="Q42">
        <f t="shared" ca="1" si="33"/>
        <v>-4.7133209998224098E-3</v>
      </c>
      <c r="R42">
        <f t="shared" ca="1" si="33"/>
        <v>-2.277274631882914E-2</v>
      </c>
      <c r="S42">
        <f t="shared" ca="1" si="33"/>
        <v>-5.1008919371625355E-2</v>
      </c>
      <c r="T42">
        <f t="shared" ca="1" si="33"/>
        <v>-1.5381379991153243E-2</v>
      </c>
      <c r="U42">
        <f t="shared" ca="1" si="33"/>
        <v>0.61397244469027734</v>
      </c>
      <c r="V42">
        <f t="shared" ca="1" si="33"/>
        <v>3.912796720457886</v>
      </c>
      <c r="W42">
        <f t="shared" ca="1" si="33"/>
        <v>13.114380308082527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50.90633085584949</v>
      </c>
      <c r="AA42">
        <f t="shared" ca="1" si="33"/>
        <v>58.87335436051427</v>
      </c>
      <c r="AB42">
        <f t="shared" ca="1" si="33"/>
        <v>65.472914093879936</v>
      </c>
      <c r="AC42">
        <f t="shared" ca="1" si="33"/>
        <v>71.340795652891856</v>
      </c>
      <c r="AD42">
        <f t="shared" ca="1" si="33"/>
        <v>76.784738007173345</v>
      </c>
      <c r="AE42">
        <f t="shared" ca="1" si="33"/>
        <v>81.93761910996048</v>
      </c>
      <c r="AF42">
        <f t="shared" ca="1" si="33"/>
        <v>86.852251335780522</v>
      </c>
      <c r="AG42">
        <f t="shared" ca="1" si="33"/>
        <v>91.547727065044796</v>
      </c>
      <c r="AH42">
        <f t="shared" ca="1" si="33"/>
        <v>96.030160820113196</v>
      </c>
      <c r="AI42">
        <f t="shared" ca="1" si="33"/>
        <v>100.20996649436886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-3.7585788010074958E-5</v>
      </c>
      <c r="M43">
        <f t="shared" ca="1" si="34"/>
        <v>-2.3565674964096959E-3</v>
      </c>
      <c r="N43">
        <f t="shared" ca="1" si="34"/>
        <v>-2.3962032782169702E-2</v>
      </c>
      <c r="O43">
        <f t="shared" ca="1" si="34"/>
        <v>-0.11610035625785747</v>
      </c>
      <c r="P43">
        <f t="shared" ca="1" si="34"/>
        <v>-3.8696544622905019E-2</v>
      </c>
      <c r="Q43">
        <f t="shared" ca="1" si="34"/>
        <v>-0.65234773709361249</v>
      </c>
      <c r="R43">
        <f t="shared" ca="1" si="34"/>
        <v>-1.1860648823210846</v>
      </c>
      <c r="S43">
        <f t="shared" ca="1" si="34"/>
        <v>-1.2025801868584585</v>
      </c>
      <c r="T43">
        <f t="shared" ca="1" si="34"/>
        <v>-0.91892942042081782</v>
      </c>
      <c r="U43">
        <f t="shared" ca="1" si="34"/>
        <v>8.0547923833627522E-2</v>
      </c>
      <c r="V43">
        <f t="shared" ca="1" si="34"/>
        <v>3.8092453313576802</v>
      </c>
      <c r="W43">
        <f t="shared" ca="1" si="34"/>
        <v>13.365005458320265</v>
      </c>
      <c r="X43">
        <f t="shared" ca="1" si="34"/>
        <v>27.506589258447004</v>
      </c>
      <c r="Y43">
        <f t="shared" ca="1" si="34"/>
        <v>40.945929242804432</v>
      </c>
      <c r="Z43">
        <f t="shared" ca="1" si="34"/>
        <v>51.246925236935645</v>
      </c>
      <c r="AA43">
        <f t="shared" ca="1" si="34"/>
        <v>59.146500258299099</v>
      </c>
      <c r="AB43">
        <f t="shared" ca="1" si="34"/>
        <v>65.684504775368524</v>
      </c>
      <c r="AC43">
        <f t="shared" ca="1" si="34"/>
        <v>71.501733282000885</v>
      </c>
      <c r="AD43">
        <f t="shared" ca="1" si="34"/>
        <v>76.905778267658221</v>
      </c>
      <c r="AE43">
        <f t="shared" ca="1" si="34"/>
        <v>82.027923377747996</v>
      </c>
      <c r="AF43">
        <f t="shared" ca="1" si="34"/>
        <v>86.919194848933827</v>
      </c>
      <c r="AG43">
        <f t="shared" ca="1" si="34"/>
        <v>91.597085103665336</v>
      </c>
      <c r="AH43">
        <f t="shared" ca="1" si="34"/>
        <v>96.066381158898679</v>
      </c>
      <c r="AI43">
        <f t="shared" ca="1" si="34"/>
        <v>100.29811958956793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0.26465786010982062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1.6657864082089781E-5</v>
      </c>
      <c r="M46">
        <f t="shared" ca="1" si="35"/>
        <v>1.0977655198680234E-4</v>
      </c>
      <c r="N46">
        <f t="shared" ca="1" si="35"/>
        <v>5.0474369838985104E-4</v>
      </c>
      <c r="O46">
        <f t="shared" ca="1" si="35"/>
        <v>1.8995917565930718E-3</v>
      </c>
      <c r="P46">
        <f t="shared" ca="1" si="35"/>
        <v>6.3597780528502693E-3</v>
      </c>
      <c r="Q46">
        <f t="shared" ca="1" si="35"/>
        <v>1.9545635040256731E-2</v>
      </c>
      <c r="R46">
        <f t="shared" ca="1" si="35"/>
        <v>5.5578154102326999E-2</v>
      </c>
      <c r="S46">
        <f t="shared" ca="1" si="35"/>
        <v>0.14796333818609364</v>
      </c>
      <c r="T46">
        <f t="shared" ca="1" si="35"/>
        <v>0.36735840615762994</v>
      </c>
      <c r="U46">
        <f t="shared" ca="1" si="35"/>
        <v>0.82113053717596873</v>
      </c>
      <c r="V46">
        <f t="shared" ca="1" si="35"/>
        <v>1.5398095639518419</v>
      </c>
      <c r="W46">
        <f t="shared" ca="1" si="35"/>
        <v>2.2468683359635051</v>
      </c>
      <c r="X46">
        <f t="shared" ca="1" si="35"/>
        <v>2.5279956841754769</v>
      </c>
      <c r="Y46">
        <f t="shared" ca="1" si="35"/>
        <v>2.3537338675400084</v>
      </c>
      <c r="Z46">
        <f t="shared" ca="1" si="35"/>
        <v>1.9695305135938141</v>
      </c>
      <c r="AA46">
        <f t="shared" ca="1" si="35"/>
        <v>1.5611101118070463</v>
      </c>
      <c r="AB46">
        <f t="shared" ca="1" si="35"/>
        <v>1.2038617444428155</v>
      </c>
      <c r="AC46">
        <f t="shared" ca="1" si="35"/>
        <v>0.91406853768437424</v>
      </c>
      <c r="AD46">
        <f t="shared" ca="1" si="35"/>
        <v>0.68700020339461965</v>
      </c>
      <c r="AE46">
        <f t="shared" ca="1" si="35"/>
        <v>0.51241503127779309</v>
      </c>
      <c r="AF46">
        <f t="shared" ca="1" si="35"/>
        <v>0.37982104682394879</v>
      </c>
      <c r="AG46">
        <f t="shared" ca="1" si="35"/>
        <v>0.28003529985470504</v>
      </c>
      <c r="AH46">
        <f t="shared" ca="1" si="35"/>
        <v>0.20549555883757611</v>
      </c>
      <c r="AI46">
        <f t="shared" ca="1" si="35"/>
        <v>0.50013437886627954</v>
      </c>
    </row>
    <row r="47" spans="1:35" ht="19" thickTop="1">
      <c r="A47" s="1" t="s">
        <v>41</v>
      </c>
      <c r="B47" s="10">
        <f ca="1">MAX(0,Ro*(reck-1/spr)/(reck-1))</f>
        <v>7544.946929783634</v>
      </c>
      <c r="F47" t="s">
        <v>83</v>
      </c>
      <c r="G47" s="30">
        <f ca="1">G39/G53</f>
        <v>1.0000000000000002</v>
      </c>
      <c r="H47" s="30">
        <f ca="1">H53/H39</f>
        <v>0.43583179430432673</v>
      </c>
      <c r="I47" s="30">
        <f ca="1">I53/I39</f>
        <v>0.42393294770181839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3.3491073988701783E-2</v>
      </c>
      <c r="M47">
        <f t="shared" ca="1" si="36"/>
        <v>0.58996266974585387</v>
      </c>
      <c r="N47">
        <f t="shared" ca="1" si="36"/>
        <v>1.6990426153978417</v>
      </c>
      <c r="O47">
        <f t="shared" ca="1" si="36"/>
        <v>2.407728970372927</v>
      </c>
      <c r="P47">
        <f t="shared" ca="1" si="36"/>
        <v>2.3171287215827276</v>
      </c>
      <c r="Q47">
        <f t="shared" ca="1" si="36"/>
        <v>2.5551881375918732</v>
      </c>
      <c r="R47">
        <f t="shared" ca="1" si="36"/>
        <v>2.6187488433390751</v>
      </c>
      <c r="S47">
        <f t="shared" ca="1" si="36"/>
        <v>2.5427436758906512</v>
      </c>
      <c r="T47">
        <f t="shared" ca="1" si="36"/>
        <v>2.3702207509315651</v>
      </c>
      <c r="U47">
        <f t="shared" ca="1" si="36"/>
        <v>2.1253496873916711</v>
      </c>
      <c r="V47">
        <f t="shared" ca="1" si="36"/>
        <v>1.822120678833647</v>
      </c>
      <c r="W47">
        <f t="shared" ca="1" si="36"/>
        <v>1.4820884229864277</v>
      </c>
      <c r="X47">
        <f t="shared" ca="1" si="36"/>
        <v>1.1447587360739466</v>
      </c>
      <c r="Y47">
        <f t="shared" ca="1" si="36"/>
        <v>0.84968192195854464</v>
      </c>
      <c r="Z47">
        <f t="shared" ca="1" si="36"/>
        <v>0.6691481588660152</v>
      </c>
      <c r="AA47">
        <f t="shared" ca="1" si="36"/>
        <v>0.51746418934031901</v>
      </c>
      <c r="AB47">
        <f t="shared" ca="1" si="36"/>
        <v>0.39516425808361555</v>
      </c>
      <c r="AC47">
        <f t="shared" ca="1" si="36"/>
        <v>0.29889326761431695</v>
      </c>
      <c r="AD47">
        <f t="shared" ca="1" si="36"/>
        <v>0.22430893245506989</v>
      </c>
      <c r="AE47">
        <f t="shared" ca="1" si="36"/>
        <v>0.16720966479758614</v>
      </c>
      <c r="AF47">
        <f t="shared" ca="1" si="36"/>
        <v>0.12391489300872863</v>
      </c>
      <c r="AG47">
        <f t="shared" ca="1" si="36"/>
        <v>9.1352982797829524E-2</v>
      </c>
      <c r="AH47">
        <f t="shared" ca="1" si="36"/>
        <v>6.70349754874036E-2</v>
      </c>
      <c r="AI47">
        <f t="shared" ca="1" si="36"/>
        <v>0.163148836386277</v>
      </c>
    </row>
    <row r="48" spans="1:35">
      <c r="A48" s="1" t="s">
        <v>43</v>
      </c>
      <c r="B48" s="1">
        <f ca="1">f1_*re*phi_q1</f>
        <v>24487.654004566451</v>
      </c>
      <c r="C48" s="19">
        <f ca="1">ye_1/SUM(ye_1,ye_2,ye_3)</f>
        <v>0.60367371601208464</v>
      </c>
      <c r="F48" t="s">
        <v>84</v>
      </c>
      <c r="G48" s="30">
        <f ca="1">G40/G54</f>
        <v>2.2944631692054425</v>
      </c>
      <c r="H48" s="30">
        <f t="shared" ref="H48:I49" ca="1" si="37">H40/H54</f>
        <v>1.0000000000000002</v>
      </c>
      <c r="I48" s="30">
        <f ca="1">I54/I40</f>
        <v>0.53282875918410288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8.5462645775878534E-4</v>
      </c>
      <c r="M48">
        <f t="shared" ca="1" si="38"/>
        <v>7.8455106899219997E-3</v>
      </c>
      <c r="N48">
        <f t="shared" ca="1" si="38"/>
        <v>4.9799891105700267E-2</v>
      </c>
      <c r="O48">
        <f t="shared" ca="1" si="38"/>
        <v>0.2499094575448941</v>
      </c>
      <c r="P48">
        <f t="shared" ca="1" si="38"/>
        <v>0.11291602141087008</v>
      </c>
      <c r="Q48">
        <f t="shared" ca="1" si="38"/>
        <v>2.0774908340996636</v>
      </c>
      <c r="R48">
        <f t="shared" ca="1" si="38"/>
        <v>4.130541974770793</v>
      </c>
      <c r="S48">
        <f t="shared" ca="1" si="38"/>
        <v>4.6334402474106939</v>
      </c>
      <c r="T48">
        <f t="shared" ca="1" si="38"/>
        <v>4.4194431893964525</v>
      </c>
      <c r="U48">
        <f t="shared" ca="1" si="38"/>
        <v>3.9247884788066498</v>
      </c>
      <c r="V48">
        <f t="shared" ca="1" si="38"/>
        <v>3.3046343060073937</v>
      </c>
      <c r="W48">
        <f t="shared" ca="1" si="38"/>
        <v>2.634268241090119</v>
      </c>
      <c r="X48">
        <f t="shared" ca="1" si="38"/>
        <v>1.9930041668333673</v>
      </c>
      <c r="Y48">
        <f t="shared" ca="1" si="38"/>
        <v>1.4487751276420624</v>
      </c>
      <c r="Z48">
        <f t="shared" ca="1" si="38"/>
        <v>1.1409507301720145</v>
      </c>
      <c r="AA48">
        <f t="shared" ca="1" si="38"/>
        <v>0.88231752093025462</v>
      </c>
      <c r="AB48">
        <f t="shared" ca="1" si="38"/>
        <v>0.67378642954416412</v>
      </c>
      <c r="AC48">
        <f t="shared" ca="1" si="38"/>
        <v>0.50963674846834317</v>
      </c>
      <c r="AD48">
        <f t="shared" ca="1" si="38"/>
        <v>0.38246453625819743</v>
      </c>
      <c r="AE48">
        <f t="shared" ca="1" si="38"/>
        <v>0.28510575216395928</v>
      </c>
      <c r="AF48">
        <f t="shared" ca="1" si="38"/>
        <v>0.2112847293745673</v>
      </c>
      <c r="AG48">
        <f t="shared" ca="1" si="38"/>
        <v>0.15576408758743235</v>
      </c>
      <c r="AH48">
        <f t="shared" ca="1" si="38"/>
        <v>0.11429995467525556</v>
      </c>
      <c r="AI48">
        <f t="shared" ca="1" si="38"/>
        <v>0.27818171736001057</v>
      </c>
    </row>
    <row r="49" spans="1:47">
      <c r="A49" s="1" t="s">
        <v>44</v>
      </c>
      <c r="B49" s="1">
        <f ca="1">f2_*re*phi_q2</f>
        <v>9132.5017837425003</v>
      </c>
      <c r="C49" s="19">
        <f ca="1">ye_2/SUM(ye_1,ye_2,ye_3)</f>
        <v>0.22513595166163136</v>
      </c>
      <c r="F49" t="s">
        <v>85</v>
      </c>
      <c r="G49" s="30">
        <f ca="1">G41/G55</f>
        <v>2.3588636019471876</v>
      </c>
      <c r="H49" s="30">
        <f t="shared" ca="1" si="37"/>
        <v>1.8767755733216347</v>
      </c>
      <c r="I49" s="30">
        <f t="shared" ca="1" si="37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6944.2308249327025</v>
      </c>
      <c r="C50" s="19">
        <f ca="1">ye_3/SUM(ye_1,ye_2,ye_3)</f>
        <v>0.17119033232628392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40564.386613241659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474.93528953424811</v>
      </c>
      <c r="I52" s="10">
        <f ca="1">I41^0.5</f>
        <v>464.19424253019042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3.2455700792144184</v>
      </c>
      <c r="C53">
        <f ca="1">AVERAGE(B53:B55)/B53</f>
        <v>0.55217466736063847</v>
      </c>
      <c r="G53">
        <f ca="1">G$52*$J53</f>
        <v>1265165.5346652637</v>
      </c>
      <c r="H53">
        <f t="shared" ref="H53:I53" ca="1" si="39">H$52*$J53</f>
        <v>534205.20689919253</v>
      </c>
      <c r="I53">
        <f t="shared" ca="1" si="39"/>
        <v>522123.72261373635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1.2104129914674422</v>
      </c>
      <c r="C54">
        <f ca="1">AVERAGE(B53:B55)/B54</f>
        <v>1.4805868670602971</v>
      </c>
      <c r="G54">
        <f t="shared" ref="G54:I55" ca="1" si="40">G$52*$J54</f>
        <v>534205.20689919253</v>
      </c>
      <c r="H54">
        <f t="shared" ca="1" si="40"/>
        <v>225563.52924498008</v>
      </c>
      <c r="I54">
        <f ca="1">I$52*$J54</f>
        <v>220462.22697620699</v>
      </c>
      <c r="J54">
        <f ca="1"/>
        <v>474.93528953424811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0.92038166597572646</v>
      </c>
      <c r="C55">
        <f ca="1">AVERAGE(B53:B55)/B55</f>
        <v>1.9471504541390188</v>
      </c>
      <c r="G55">
        <f t="shared" ca="1" si="40"/>
        <v>522123.72261373635</v>
      </c>
      <c r="H55">
        <f t="shared" ca="1" si="40"/>
        <v>220462.22697620699</v>
      </c>
      <c r="I55">
        <f t="shared" ca="1" si="40"/>
        <v>215476.29479817726</v>
      </c>
      <c r="J55">
        <f ca="1"/>
        <v>464.19424253019042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5.8089214896367952E-2</v>
      </c>
      <c r="C56">
        <f ca="1">AVERAGE(B56:B58)/B56</f>
        <v>1.1752161457805443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0.11273153186554348</v>
      </c>
      <c r="C57">
        <f ca="1">AVERAGE(B56:B58)/B57</f>
        <v>0.60557487432487656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3.3981402963870484E-2</v>
      </c>
      <c r="C58">
        <f ca="1">AVERAGE(B56:B58)/B58</f>
        <v>2.0089630588386882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27.084863651871274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workbookViewId="0">
      <pane xSplit="10" topLeftCell="K1" activePane="topRight" state="frozen"/>
      <selection pane="topRight" activeCell="F41" sqref="F41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0.33332999999999996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0.33333000000000002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0.33334000000000003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0.39920596849490819</v>
      </c>
      <c r="J7" t="s">
        <v>7</v>
      </c>
      <c r="K7" s="1">
        <f>1</f>
        <v>1</v>
      </c>
      <c r="L7" s="1">
        <f ca="1">K7*EXP(-K8)</f>
        <v>0.86070797627747808</v>
      </c>
      <c r="M7" s="1">
        <f t="shared" ref="M7:AH7" ca="1" si="3">L7*EXP(-L8)</f>
        <v>0.74081821850521745</v>
      </c>
      <c r="N7" s="1">
        <f t="shared" ca="1" si="3"/>
        <v>0.63762684158859273</v>
      </c>
      <c r="O7" s="1">
        <f t="shared" ca="1" si="3"/>
        <v>0.52304644019126711</v>
      </c>
      <c r="P7" s="1">
        <f t="shared" ca="1" si="3"/>
        <v>0.41339812679039134</v>
      </c>
      <c r="Q7" s="1">
        <f t="shared" ca="1" si="3"/>
        <v>0.32627389360269499</v>
      </c>
      <c r="R7" s="1">
        <f t="shared" ca="1" si="3"/>
        <v>0.26108539658642749</v>
      </c>
      <c r="S7" s="1">
        <f t="shared" ca="1" si="3"/>
        <v>0.20791227909180132</v>
      </c>
      <c r="T7" s="1">
        <f t="shared" ca="1" si="3"/>
        <v>0.16414342783976338</v>
      </c>
      <c r="U7" s="1">
        <f t="shared" ca="1" si="3"/>
        <v>0.13008754648836368</v>
      </c>
      <c r="V7" s="1">
        <f t="shared" ca="1" si="3"/>
        <v>0.10358507290321894</v>
      </c>
      <c r="W7" s="1">
        <f t="shared" ca="1" si="3"/>
        <v>8.2789350369661244E-2</v>
      </c>
      <c r="X7" s="1">
        <f t="shared" ca="1" si="3"/>
        <v>6.6360103124029041E-2</v>
      </c>
      <c r="Y7" s="1">
        <f t="shared" ca="1" si="3"/>
        <v>5.3313841273885332E-2</v>
      </c>
      <c r="Z7" s="1">
        <f t="shared" ca="1" si="3"/>
        <v>4.2913526508883672E-2</v>
      </c>
      <c r="AA7" s="1">
        <f t="shared" ca="1" si="3"/>
        <v>3.4597311350583672E-2</v>
      </c>
      <c r="AB7" s="1">
        <f t="shared" ca="1" si="3"/>
        <v>2.7931356357701876E-2</v>
      </c>
      <c r="AC7" s="1">
        <f t="shared" ca="1" si="3"/>
        <v>2.2577438138939206E-2</v>
      </c>
      <c r="AD7" s="1">
        <f t="shared" ca="1" si="3"/>
        <v>1.8269975737157617E-2</v>
      </c>
      <c r="AE7" s="1">
        <f t="shared" ca="1" si="3"/>
        <v>1.479929048647248E-2</v>
      </c>
      <c r="AF7" s="1">
        <f t="shared" ca="1" si="3"/>
        <v>1.1999141966313125E-2</v>
      </c>
      <c r="AG7" s="1">
        <f t="shared" ca="1" si="3"/>
        <v>9.7372907686957676E-3</v>
      </c>
      <c r="AH7" s="1">
        <f t="shared" ca="1" si="3"/>
        <v>7.9082607228713984E-3</v>
      </c>
      <c r="AI7" s="1">
        <f ca="1">AH7*EXP(-AH8)/(1-EXP(-AI8))</f>
        <v>3.4442477857206479E-2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0.15000000017146312</v>
      </c>
      <c r="L8" s="1">
        <f t="shared" ref="L8:AI8" ca="1" si="4">M+f1_*flt1_ +f2_*flt2_ +f3_*flt3_</f>
        <v>0.15000000276650502</v>
      </c>
      <c r="M8" s="1">
        <f t="shared" ca="1" si="4"/>
        <v>0.15000205160514279</v>
      </c>
      <c r="N8" s="1">
        <f t="shared" ca="1" si="4"/>
        <v>0.19808296853941343</v>
      </c>
      <c r="O8" s="1">
        <f t="shared" ca="1" si="4"/>
        <v>0.2352591398900982</v>
      </c>
      <c r="P8" s="1">
        <f t="shared" ca="1" si="4"/>
        <v>0.23667392295793327</v>
      </c>
      <c r="Q8" s="1">
        <f t="shared" ca="1" si="4"/>
        <v>0.22288964925754623</v>
      </c>
      <c r="R8" s="1">
        <f t="shared" ca="1" si="4"/>
        <v>0.22773128818356095</v>
      </c>
      <c r="S8" s="1">
        <f t="shared" ca="1" si="4"/>
        <v>0.23637564999248922</v>
      </c>
      <c r="T8" s="1">
        <f t="shared" ca="1" si="4"/>
        <v>0.23253294729180518</v>
      </c>
      <c r="U8" s="1">
        <f t="shared" ca="1" si="4"/>
        <v>0.22781442282764844</v>
      </c>
      <c r="V8" s="1">
        <f t="shared" ca="1" si="4"/>
        <v>0.22409380110331212</v>
      </c>
      <c r="W8" s="1">
        <f t="shared" ca="1" si="4"/>
        <v>0.22120341506530597</v>
      </c>
      <c r="X8" s="1">
        <f t="shared" ca="1" si="4"/>
        <v>0.2189000356815177</v>
      </c>
      <c r="Y8" s="1">
        <f t="shared" ca="1" si="4"/>
        <v>0.21700890417466148</v>
      </c>
      <c r="Z8" s="1">
        <f t="shared" ca="1" si="4"/>
        <v>0.21541110705990119</v>
      </c>
      <c r="AA8" s="1">
        <f t="shared" ca="1" si="4"/>
        <v>0.21402603088250016</v>
      </c>
      <c r="AB8" s="1">
        <f t="shared" ca="1" si="4"/>
        <v>0.21279884633516769</v>
      </c>
      <c r="AC8" s="1">
        <f t="shared" ca="1" si="4"/>
        <v>0.21169205282258702</v>
      </c>
      <c r="AD8" s="1">
        <f t="shared" ca="1" si="4"/>
        <v>0.21067980285588231</v>
      </c>
      <c r="AE8" s="1">
        <f t="shared" ca="1" si="4"/>
        <v>0.20974409509338204</v>
      </c>
      <c r="AF8" s="1">
        <f t="shared" ca="1" si="4"/>
        <v>0.20887222062689803</v>
      </c>
      <c r="AG8" s="1">
        <f t="shared" ca="1" si="4"/>
        <v>0.20805504952425705</v>
      </c>
      <c r="AH8" s="1">
        <f t="shared" ca="1" si="4"/>
        <v>0.20728588071878984</v>
      </c>
      <c r="AI8" s="1">
        <f t="shared" ca="1" si="4"/>
        <v>0.20655966960649974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0.86070797627747808</v>
      </c>
      <c r="L10" s="1">
        <f t="shared" ca="1" si="5"/>
        <v>0.86070797404390487</v>
      </c>
      <c r="M10" s="1">
        <f t="shared" ca="1" si="5"/>
        <v>0.86070621059395835</v>
      </c>
      <c r="N10" s="1">
        <f t="shared" ca="1" si="5"/>
        <v>0.82030179107288148</v>
      </c>
      <c r="O10" s="1">
        <f t="shared" ca="1" si="5"/>
        <v>0.79036600772814802</v>
      </c>
      <c r="P10" s="1">
        <f t="shared" ca="1" si="5"/>
        <v>0.78924860191281987</v>
      </c>
      <c r="Q10" s="1">
        <f t="shared" ca="1" si="5"/>
        <v>0.80020314743401511</v>
      </c>
      <c r="R10" s="1">
        <f t="shared" ca="1" si="5"/>
        <v>0.79633821657649018</v>
      </c>
      <c r="S10" s="1">
        <f t="shared" ca="1" si="5"/>
        <v>0.78948404854572207</v>
      </c>
      <c r="T10" s="1">
        <f t="shared" ca="1" si="5"/>
        <v>0.79252363740907739</v>
      </c>
      <c r="U10" s="1">
        <f t="shared" ca="1" si="5"/>
        <v>0.79627201603409914</v>
      </c>
      <c r="V10" s="1">
        <f t="shared" ca="1" si="5"/>
        <v>0.79924016124420305</v>
      </c>
      <c r="W10" s="1">
        <f t="shared" ca="1" si="5"/>
        <v>0.80155361562478422</v>
      </c>
      <c r="X10" s="1">
        <f t="shared" ca="1" si="5"/>
        <v>0.80340202567558028</v>
      </c>
      <c r="Y10" s="1">
        <f t="shared" ca="1" si="5"/>
        <v>0.80492280209987355</v>
      </c>
      <c r="Z10" s="1">
        <f t="shared" ca="1" si="5"/>
        <v>0.80620993344421532</v>
      </c>
      <c r="AA10" s="1">
        <f t="shared" ca="1" si="5"/>
        <v>0.80732736930526428</v>
      </c>
      <c r="AB10" s="1">
        <f t="shared" ca="1" si="5"/>
        <v>0.80831871713647141</v>
      </c>
      <c r="AC10" s="1">
        <f t="shared" ca="1" si="5"/>
        <v>0.80921385432333315</v>
      </c>
      <c r="AD10" s="1">
        <f t="shared" ca="1" si="5"/>
        <v>0.81003339574083666</v>
      </c>
      <c r="AE10" s="1">
        <f t="shared" ca="1" si="5"/>
        <v>0.81079170499971775</v>
      </c>
      <c r="AF10" s="1">
        <f t="shared" ca="1" si="5"/>
        <v>0.81149892184229755</v>
      </c>
      <c r="AG10" s="1">
        <f t="shared" ca="1" si="5"/>
        <v>0.81216232633162366</v>
      </c>
      <c r="AH10" s="1">
        <f t="shared" ca="1" si="5"/>
        <v>0.81278725656562434</v>
      </c>
      <c r="AI10" s="1">
        <f t="shared" ca="1" si="5"/>
        <v>0.81337772608008119</v>
      </c>
    </row>
    <row r="11" spans="1:35">
      <c r="A11" s="5">
        <v>1</v>
      </c>
      <c r="B11" s="24">
        <v>0.33333000000000002</v>
      </c>
      <c r="C11" s="17">
        <f ca="1">mpr1_/SUM(mpr1_,mpr2_,mpr3_)</f>
        <v>0.21566984567395639</v>
      </c>
      <c r="J11" t="s">
        <v>56</v>
      </c>
      <c r="K11" s="1">
        <f ca="1">1-sa</f>
        <v>0.13929202372252192</v>
      </c>
      <c r="L11" s="1">
        <f t="shared" ref="L11:AI11" ca="1" si="6">1-sa</f>
        <v>0.13929202595609513</v>
      </c>
      <c r="M11" s="1">
        <f t="shared" ca="1" si="6"/>
        <v>0.13929378940604165</v>
      </c>
      <c r="N11" s="1">
        <f t="shared" ca="1" si="6"/>
        <v>0.17969820892711852</v>
      </c>
      <c r="O11" s="1">
        <f t="shared" ca="1" si="6"/>
        <v>0.20963399227185198</v>
      </c>
      <c r="P11" s="1">
        <f t="shared" ca="1" si="6"/>
        <v>0.21075139808718013</v>
      </c>
      <c r="Q11" s="1">
        <f t="shared" ca="1" si="6"/>
        <v>0.19979685256598489</v>
      </c>
      <c r="R11" s="1">
        <f t="shared" ca="1" si="6"/>
        <v>0.20366178342350982</v>
      </c>
      <c r="S11" s="1">
        <f t="shared" ca="1" si="6"/>
        <v>0.21051595145427793</v>
      </c>
      <c r="T11" s="1">
        <f t="shared" ca="1" si="6"/>
        <v>0.20747636259092261</v>
      </c>
      <c r="U11" s="1">
        <f t="shared" ca="1" si="6"/>
        <v>0.20372798396590086</v>
      </c>
      <c r="V11" s="1">
        <f t="shared" ca="1" si="6"/>
        <v>0.20075983875579695</v>
      </c>
      <c r="W11" s="1">
        <f t="shared" ca="1" si="6"/>
        <v>0.19844638437521578</v>
      </c>
      <c r="X11" s="1">
        <f t="shared" ca="1" si="6"/>
        <v>0.19659797432441972</v>
      </c>
      <c r="Y11" s="1">
        <f t="shared" ca="1" si="6"/>
        <v>0.19507719790012645</v>
      </c>
      <c r="Z11" s="1">
        <f t="shared" ca="1" si="6"/>
        <v>0.19379006655578468</v>
      </c>
      <c r="AA11" s="1">
        <f t="shared" ca="1" si="6"/>
        <v>0.19267263069473572</v>
      </c>
      <c r="AB11" s="1">
        <f t="shared" ca="1" si="6"/>
        <v>0.19168128286352859</v>
      </c>
      <c r="AC11" s="1">
        <f t="shared" ca="1" si="6"/>
        <v>0.19078614567666685</v>
      </c>
      <c r="AD11" s="1">
        <f t="shared" ca="1" si="6"/>
        <v>0.18996660425916334</v>
      </c>
      <c r="AE11" s="1">
        <f t="shared" ca="1" si="6"/>
        <v>0.18920829500028225</v>
      </c>
      <c r="AF11" s="1">
        <f t="shared" ca="1" si="6"/>
        <v>0.18850107815770245</v>
      </c>
      <c r="AG11" s="1">
        <f t="shared" ca="1" si="6"/>
        <v>0.18783767366837634</v>
      </c>
      <c r="AH11" s="1">
        <f t="shared" ca="1" si="6"/>
        <v>0.18721274343437566</v>
      </c>
      <c r="AI11" s="1">
        <f t="shared" ca="1" si="6"/>
        <v>0.18662227391991881</v>
      </c>
    </row>
    <row r="12" spans="1:35">
      <c r="A12" s="5">
        <v>2</v>
      </c>
      <c r="B12" s="24">
        <v>0.33333000000000002</v>
      </c>
      <c r="C12" s="17">
        <f ca="1">mpr2_/SUM(mpr1_,mpr2_,mpr3_)</f>
        <v>0.49012591987899345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0.29420423444705029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0.39920596849490819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6.3048603107839701E-7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 t="shared" ref="K18:T20" si="11">((EXP(g*(ah-age)/gh)/(1+EXP((ah-age)/gh))) *(1/(1-g))*((1-g)/g)^g) *(sr+(1-sr)*dmr)</f>
        <v>4.0188045298347197E-9</v>
      </c>
      <c r="L18" s="4">
        <f t="shared" si="11"/>
        <v>4.8957876563667651E-8</v>
      </c>
      <c r="M18" s="4">
        <f t="shared" si="11"/>
        <v>5.967155322076307E-7</v>
      </c>
      <c r="N18" s="4">
        <f t="shared" si="11"/>
        <v>7.7682365309080335E-6</v>
      </c>
      <c r="O18" s="4">
        <f t="shared" si="11"/>
        <v>2.767069814861237E-4</v>
      </c>
      <c r="P18" s="4">
        <f t="shared" si="11"/>
        <v>6.358205154749475E-3</v>
      </c>
      <c r="Q18" s="4">
        <f t="shared" si="11"/>
        <v>7.5541371430625615E-2</v>
      </c>
      <c r="R18" s="4">
        <f t="shared" si="11"/>
        <v>0.49976909633495642</v>
      </c>
      <c r="S18" s="4">
        <f t="shared" si="11"/>
        <v>0.92412463830274882</v>
      </c>
      <c r="T18" s="4">
        <f t="shared" si="11"/>
        <v>0.99334887273943417</v>
      </c>
      <c r="U18" s="4">
        <f t="shared" ref="U18:AI20" si="12">((EXP(g*(ah-age)/gh)/(1+EXP((ah-age)/gh))) *(1/(1-g))*((1-g)/g)^g) *(sr+(1-sr)*dmr)</f>
        <v>0.99948537731064468</v>
      </c>
      <c r="V18" s="4">
        <f t="shared" si="12"/>
        <v>0.99997443428106936</v>
      </c>
      <c r="W18" s="4">
        <f t="shared" si="12"/>
        <v>0.99999363752380821</v>
      </c>
      <c r="X18" s="4">
        <f t="shared" si="12"/>
        <v>0.99997317813932285</v>
      </c>
      <c r="Y18" s="4">
        <f t="shared" si="12"/>
        <v>0.99994901817197135</v>
      </c>
      <c r="Z18" s="4">
        <f t="shared" si="12"/>
        <v>0.99992434910244599</v>
      </c>
      <c r="AA18" s="4">
        <f t="shared" si="12"/>
        <v>0.99989953452192126</v>
      </c>
      <c r="AB18" s="4">
        <f t="shared" si="12"/>
        <v>0.99987465154422961</v>
      </c>
      <c r="AC18" s="4">
        <f t="shared" si="12"/>
        <v>0.99984973027640578</v>
      </c>
      <c r="AD18" s="4">
        <f t="shared" si="12"/>
        <v>0.99982478597910507</v>
      </c>
      <c r="AE18" s="4">
        <f t="shared" si="12"/>
        <v>0.99979982719199456</v>
      </c>
      <c r="AF18" s="4">
        <f t="shared" si="12"/>
        <v>0.99977485897968454</v>
      </c>
      <c r="AG18" s="4">
        <f t="shared" si="12"/>
        <v>0.99974988448604474</v>
      </c>
      <c r="AH18" s="4">
        <f t="shared" si="12"/>
        <v>0.99972490573983031</v>
      </c>
      <c r="AI18" s="4">
        <f t="shared" si="12"/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si="11"/>
        <v>2.565383499271103E-26</v>
      </c>
      <c r="L19" s="4">
        <f t="shared" si="11"/>
        <v>8.3430369002290449E-18</v>
      </c>
      <c r="M19" s="4">
        <f t="shared" si="11"/>
        <v>2.7133544545124503E-9</v>
      </c>
      <c r="N19" s="4">
        <f t="shared" si="11"/>
        <v>0.44265676870767573</v>
      </c>
      <c r="O19" s="4">
        <f t="shared" si="11"/>
        <v>0.65143063328727313</v>
      </c>
      <c r="P19" s="4">
        <f t="shared" si="11"/>
        <v>0.48969267383017706</v>
      </c>
      <c r="Q19" s="4">
        <f t="shared" si="11"/>
        <v>0.33187682954937608</v>
      </c>
      <c r="R19" s="4">
        <f t="shared" si="11"/>
        <v>0.22266193871474105</v>
      </c>
      <c r="S19" s="4">
        <f t="shared" si="11"/>
        <v>0.14927140014310977</v>
      </c>
      <c r="T19" s="4">
        <f t="shared" si="11"/>
        <v>0.10006165093630166</v>
      </c>
      <c r="U19" s="4">
        <f t="shared" si="12"/>
        <v>6.7073668577064968E-2</v>
      </c>
      <c r="V19" s="4">
        <f t="shared" si="12"/>
        <v>4.4960895865833919E-2</v>
      </c>
      <c r="W19" s="4">
        <f t="shared" si="12"/>
        <v>3.0138207950512599E-2</v>
      </c>
      <c r="X19" s="4">
        <f t="shared" si="12"/>
        <v>2.0202250325825576E-2</v>
      </c>
      <c r="Y19" s="4">
        <f t="shared" si="12"/>
        <v>1.3541975168545823E-2</v>
      </c>
      <c r="Z19" s="4">
        <f t="shared" si="12"/>
        <v>9.0774580804409925E-3</v>
      </c>
      <c r="AA19" s="4">
        <f t="shared" si="12"/>
        <v>6.084802381089406E-3</v>
      </c>
      <c r="AB19" s="4">
        <f t="shared" si="12"/>
        <v>4.0787651229744837E-3</v>
      </c>
      <c r="AC19" s="4">
        <f t="shared" si="12"/>
        <v>2.7340780740088763E-3</v>
      </c>
      <c r="AD19" s="4">
        <f t="shared" si="12"/>
        <v>1.8327073629688865E-3</v>
      </c>
      <c r="AE19" s="4">
        <f t="shared" si="12"/>
        <v>1.228500494599402E-3</v>
      </c>
      <c r="AF19" s="4">
        <f t="shared" si="12"/>
        <v>8.2348851328596499E-4</v>
      </c>
      <c r="AG19" s="4">
        <f t="shared" si="12"/>
        <v>5.5200086070776827E-4</v>
      </c>
      <c r="AH19" s="4">
        <f t="shared" si="12"/>
        <v>3.7001724365574488E-4</v>
      </c>
      <c r="AI19" s="4">
        <f t="shared" si="12"/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11"/>
        <v>7.3606737684183437E-13</v>
      </c>
      <c r="L20" s="4">
        <f t="shared" si="11"/>
        <v>1.7926207250107456E-8</v>
      </c>
      <c r="M20" s="4">
        <f t="shared" si="11"/>
        <v>5.3559713994076082E-5</v>
      </c>
      <c r="N20" s="4">
        <f t="shared" si="11"/>
        <v>1.2785190608585748E-2</v>
      </c>
      <c r="O20" s="4">
        <f t="shared" si="11"/>
        <v>0.40182528269443096</v>
      </c>
      <c r="P20" s="4">
        <f t="shared" si="11"/>
        <v>0.8921741086601318</v>
      </c>
      <c r="Q20" s="4">
        <f t="shared" si="11"/>
        <v>0.89837349793125421</v>
      </c>
      <c r="R20" s="4">
        <f t="shared" si="11"/>
        <v>0.85841851954711956</v>
      </c>
      <c r="S20" s="4">
        <f t="shared" si="11"/>
        <v>0.81701115611962682</v>
      </c>
      <c r="T20" s="4">
        <f t="shared" si="11"/>
        <v>0.77724446850090612</v>
      </c>
      <c r="U20" s="4">
        <f t="shared" si="12"/>
        <v>0.73935646101799879</v>
      </c>
      <c r="V20" s="4">
        <f t="shared" si="12"/>
        <v>0.70330319551801679</v>
      </c>
      <c r="W20" s="4">
        <f t="shared" si="12"/>
        <v>0.66900471003542772</v>
      </c>
      <c r="X20" s="4">
        <f t="shared" si="12"/>
        <v>0.63637781347243549</v>
      </c>
      <c r="Y20" s="4">
        <f t="shared" si="12"/>
        <v>0.60534170361138351</v>
      </c>
      <c r="Z20" s="4">
        <f t="shared" si="12"/>
        <v>0.57581905033431313</v>
      </c>
      <c r="AA20" s="4">
        <f t="shared" si="12"/>
        <v>0.54773614211329147</v>
      </c>
      <c r="AB20" s="4">
        <f t="shared" si="12"/>
        <v>0.52102280598640405</v>
      </c>
      <c r="AC20" s="4">
        <f t="shared" si="12"/>
        <v>0.49561226830919564</v>
      </c>
      <c r="AD20" s="4">
        <f t="shared" si="12"/>
        <v>0.4714410017424947</v>
      </c>
      <c r="AE20" s="4">
        <f t="shared" si="12"/>
        <v>0.4484485722742993</v>
      </c>
      <c r="AF20" s="4">
        <f t="shared" si="12"/>
        <v>0.42657749076841689</v>
      </c>
      <c r="AG20" s="4">
        <f t="shared" si="12"/>
        <v>0.40577307050229267</v>
      </c>
      <c r="AH20" s="4">
        <f t="shared" si="12"/>
        <v>0.38598329108305446</v>
      </c>
      <c r="AI20" s="4">
        <f t="shared" si="12"/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3">wa*flt1_*(1-EXP(-za))/za</f>
        <v>7.8401271045068836E-10</v>
      </c>
      <c r="L22" s="1">
        <f t="shared" ca="1" si="13"/>
        <v>6.3969258215684504E-8</v>
      </c>
      <c r="M22" s="1">
        <f t="shared" ca="1" si="13"/>
        <v>2.0840633644136542E-6</v>
      </c>
      <c r="N22" s="1">
        <f t="shared" ca="1" si="13"/>
        <v>4.9021925339855837E-5</v>
      </c>
      <c r="O22" s="1">
        <f t="shared" ca="1" si="13"/>
        <v>2.6076971805576062E-3</v>
      </c>
      <c r="P22" s="1">
        <f t="shared" ca="1" si="13"/>
        <v>8.0790929147815341E-2</v>
      </c>
      <c r="Q22" s="1">
        <f t="shared" ca="1" si="13"/>
        <v>1.2049489943220191</v>
      </c>
      <c r="R22" s="1">
        <f t="shared" ca="1" si="13"/>
        <v>9.3900949322110776</v>
      </c>
      <c r="S22" s="1">
        <f t="shared" ca="1" si="13"/>
        <v>19.628180559547037</v>
      </c>
      <c r="T22" s="1">
        <f t="shared" ca="1" si="13"/>
        <v>23.30870255964469</v>
      </c>
      <c r="U22" s="1">
        <f t="shared" ca="1" si="13"/>
        <v>25.362390386698053</v>
      </c>
      <c r="V22" s="1">
        <f t="shared" ca="1" si="13"/>
        <v>26.977131490325167</v>
      </c>
      <c r="W22" s="1">
        <f t="shared" ca="1" si="13"/>
        <v>28.306610841385531</v>
      </c>
      <c r="X22" s="1">
        <f t="shared" ca="1" si="13"/>
        <v>29.399975902201287</v>
      </c>
      <c r="Y22" s="1">
        <f t="shared" ca="1" si="13"/>
        <v>30.294813179680499</v>
      </c>
      <c r="Z22" s="1">
        <f t="shared" ca="1" si="13"/>
        <v>31.024248100250421</v>
      </c>
      <c r="AA22" s="1">
        <f t="shared" ca="1" si="13"/>
        <v>31.617113747590313</v>
      </c>
      <c r="AB22" s="1">
        <f t="shared" ca="1" si="13"/>
        <v>32.098001163505373</v>
      </c>
      <c r="AC22" s="1">
        <f t="shared" ca="1" si="13"/>
        <v>32.487557329978017</v>
      </c>
      <c r="AD22" s="1">
        <f t="shared" ca="1" si="13"/>
        <v>32.802918626561535</v>
      </c>
      <c r="AE22" s="1">
        <f t="shared" ca="1" si="13"/>
        <v>33.058186023424085</v>
      </c>
      <c r="AF22" s="1">
        <f t="shared" ca="1" si="13"/>
        <v>33.264887931039389</v>
      </c>
      <c r="AG22" s="1">
        <f t="shared" ca="1" si="13"/>
        <v>33.432403359736071</v>
      </c>
      <c r="AH22" s="1">
        <f t="shared" ca="1" si="13"/>
        <v>33.568334122370366</v>
      </c>
      <c r="AI22" s="1">
        <f t="shared" ca="1" si="13"/>
        <v>33.678823971566331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4">wa*flt2_*(1-EXP(-za))/za</f>
        <v>5.0047053935507708E-27</v>
      </c>
      <c r="L23" s="1">
        <f t="shared" ca="1" si="14"/>
        <v>1.0901164822368964E-17</v>
      </c>
      <c r="M23" s="1">
        <f t="shared" ca="1" si="14"/>
        <v>9.4765467096143406E-9</v>
      </c>
      <c r="N23" s="1">
        <f t="shared" ca="1" si="14"/>
        <v>2.7934122474812182</v>
      </c>
      <c r="O23" s="1">
        <f t="shared" ca="1" si="14"/>
        <v>6.1391072123609085</v>
      </c>
      <c r="P23" s="1">
        <f t="shared" ca="1" si="14"/>
        <v>6.2223104087897152</v>
      </c>
      <c r="Q23" s="1">
        <f t="shared" ca="1" si="14"/>
        <v>5.293717130507078</v>
      </c>
      <c r="R23" s="1">
        <f t="shared" ca="1" si="14"/>
        <v>4.1835654858504325</v>
      </c>
      <c r="S23" s="1">
        <f t="shared" ca="1" si="14"/>
        <v>3.1704879114211999</v>
      </c>
      <c r="T23" s="1">
        <f t="shared" ca="1" si="14"/>
        <v>2.3479235979492943</v>
      </c>
      <c r="U23" s="1">
        <f t="shared" ca="1" si="14"/>
        <v>1.7020244675283518</v>
      </c>
      <c r="V23" s="1">
        <f t="shared" ca="1" si="14"/>
        <v>1.212947009557743</v>
      </c>
      <c r="W23" s="1">
        <f t="shared" ca="1" si="14"/>
        <v>0.85311595184184408</v>
      </c>
      <c r="X23" s="1">
        <f t="shared" ca="1" si="14"/>
        <v>0.59396160390489761</v>
      </c>
      <c r="Y23" s="1">
        <f t="shared" ca="1" si="14"/>
        <v>0.41027252425824473</v>
      </c>
      <c r="Z23" s="1">
        <f t="shared" ca="1" si="14"/>
        <v>0.28164261812407482</v>
      </c>
      <c r="AA23" s="1">
        <f t="shared" ca="1" si="14"/>
        <v>0.19240321889588241</v>
      </c>
      <c r="AB23" s="1">
        <f t="shared" ca="1" si="14"/>
        <v>0.13093662036606676</v>
      </c>
      <c r="AC23" s="1">
        <f t="shared" ca="1" si="14"/>
        <v>8.8836867665548325E-2</v>
      </c>
      <c r="AD23" s="1">
        <f t="shared" ca="1" si="14"/>
        <v>6.0128685882593187E-2</v>
      </c>
      <c r="AE23" s="1">
        <f t="shared" ca="1" si="14"/>
        <v>4.0620128925604099E-2</v>
      </c>
      <c r="AF23" s="1">
        <f t="shared" ca="1" si="14"/>
        <v>2.7399421840745147E-2</v>
      </c>
      <c r="AG23" s="1">
        <f t="shared" ca="1" si="14"/>
        <v>1.8459332395512972E-2</v>
      </c>
      <c r="AH23" s="1">
        <f t="shared" ca="1" si="14"/>
        <v>1.2424280314275768E-2</v>
      </c>
      <c r="AI23" s="1">
        <f t="shared" ca="1" si="14"/>
        <v>8.3558653107437802E-3</v>
      </c>
    </row>
    <row r="24" spans="1:35">
      <c r="B24" s="1"/>
      <c r="J24" s="8" t="s">
        <v>25</v>
      </c>
      <c r="K24" s="1">
        <f t="shared" ref="K24:AI24" ca="1" si="15">wa*flt3_*(1-EXP(-za))/za</f>
        <v>1.435964787309097E-13</v>
      </c>
      <c r="L24" s="1">
        <f t="shared" ca="1" si="15"/>
        <v>2.342271072395737E-8</v>
      </c>
      <c r="M24" s="1">
        <f t="shared" ca="1" si="15"/>
        <v>1.8706038592722238E-4</v>
      </c>
      <c r="N24" s="1">
        <f t="shared" ca="1" si="15"/>
        <v>8.0681716754658961E-2</v>
      </c>
      <c r="O24" s="1">
        <f t="shared" ca="1" si="15"/>
        <v>3.7868168382718523</v>
      </c>
      <c r="P24" s="1">
        <f t="shared" ca="1" si="15"/>
        <v>11.336465786485947</v>
      </c>
      <c r="Q24" s="1">
        <f t="shared" ca="1" si="15"/>
        <v>14.32981983722577</v>
      </c>
      <c r="R24" s="1">
        <f t="shared" ca="1" si="15"/>
        <v>16.128711137259131</v>
      </c>
      <c r="S24" s="1">
        <f t="shared" ca="1" si="15"/>
        <v>17.353116481054876</v>
      </c>
      <c r="T24" s="1">
        <f t="shared" ca="1" si="15"/>
        <v>18.237862476710042</v>
      </c>
      <c r="U24" s="1">
        <f t="shared" ca="1" si="15"/>
        <v>18.761502294032891</v>
      </c>
      <c r="V24" s="1">
        <f t="shared" ca="1" si="15"/>
        <v>18.973587856469653</v>
      </c>
      <c r="W24" s="1">
        <f t="shared" ca="1" si="15"/>
        <v>18.937376466633729</v>
      </c>
      <c r="X24" s="1">
        <f t="shared" ca="1" si="15"/>
        <v>18.709994217643327</v>
      </c>
      <c r="Y24" s="1">
        <f t="shared" ca="1" si="15"/>
        <v>18.33964880959811</v>
      </c>
      <c r="Z24" s="1">
        <f t="shared" ca="1" si="15"/>
        <v>17.86570463501339</v>
      </c>
      <c r="AA24" s="1">
        <f t="shared" ca="1" si="15"/>
        <v>17.319575928337994</v>
      </c>
      <c r="AB24" s="1">
        <f t="shared" ca="1" si="15"/>
        <v>16.725887196895947</v>
      </c>
      <c r="AC24" s="1">
        <f t="shared" ca="1" si="15"/>
        <v>16.103651871451021</v>
      </c>
      <c r="AD24" s="1">
        <f t="shared" ca="1" si="15"/>
        <v>15.467350914129968</v>
      </c>
      <c r="AE24" s="1">
        <f t="shared" ca="1" si="15"/>
        <v>14.827864459448296</v>
      </c>
      <c r="AF24" s="1">
        <f t="shared" ca="1" si="15"/>
        <v>14.193247906630665</v>
      </c>
      <c r="AG24" s="1">
        <f t="shared" ca="1" si="15"/>
        <v>13.569362873720477</v>
      </c>
      <c r="AH24" s="1">
        <f t="shared" ca="1" si="15"/>
        <v>12.960381407262858</v>
      </c>
      <c r="AI24" s="1">
        <f t="shared" ca="1" si="15"/>
        <v>12.369183867687415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3.7319161017735353E-9</v>
      </c>
      <c r="L26">
        <f t="shared" ref="L26:AI26" ca="1" si="16">qa1_/wa</f>
        <v>4.5462944581921545E-8</v>
      </c>
      <c r="M26">
        <f t="shared" ca="1" si="16"/>
        <v>5.5411753898834039E-7</v>
      </c>
      <c r="N26">
        <f t="shared" ca="1" si="16"/>
        <v>7.0472398582245107E-6</v>
      </c>
      <c r="O26">
        <f t="shared" ca="1" si="16"/>
        <v>2.4656720774175961E-4</v>
      </c>
      <c r="P26">
        <f t="shared" ca="1" si="16"/>
        <v>5.6618008817420108E-3</v>
      </c>
      <c r="Q26">
        <f t="shared" ca="1" si="16"/>
        <v>6.7714801026571306E-2</v>
      </c>
      <c r="R26">
        <f t="shared" ca="1" si="16"/>
        <v>0.44694721692124734</v>
      </c>
      <c r="S26">
        <f t="shared" ca="1" si="16"/>
        <v>0.82302461146410466</v>
      </c>
      <c r="T26">
        <f t="shared" ca="1" si="16"/>
        <v>0.88631057792056056</v>
      </c>
      <c r="U26">
        <f t="shared" ca="1" si="16"/>
        <v>0.89381145581351185</v>
      </c>
      <c r="V26">
        <f t="shared" ca="1" si="16"/>
        <v>0.89585122478972312</v>
      </c>
      <c r="W26">
        <f t="shared" ca="1" si="16"/>
        <v>0.89711599482418847</v>
      </c>
      <c r="X26">
        <f t="shared" ca="1" si="16"/>
        <v>0.89809350916219066</v>
      </c>
      <c r="Y26">
        <f t="shared" ca="1" si="16"/>
        <v>0.89889054667991508</v>
      </c>
      <c r="Z26">
        <f t="shared" ca="1" si="16"/>
        <v>0.89956088526775879</v>
      </c>
      <c r="AA26">
        <f t="shared" ca="1" si="16"/>
        <v>0.90013945010523744</v>
      </c>
      <c r="AB26">
        <f t="shared" ca="1" si="16"/>
        <v>0.9006498823252681</v>
      </c>
      <c r="AC26">
        <f t="shared" ca="1" si="16"/>
        <v>0.90110834937747397</v>
      </c>
      <c r="AD26">
        <f t="shared" ca="1" si="16"/>
        <v>0.9015259976131702</v>
      </c>
      <c r="AE26">
        <f t="shared" ca="1" si="16"/>
        <v>0.90191059042855004</v>
      </c>
      <c r="AF26">
        <f t="shared" ca="1" si="16"/>
        <v>0.90226760776040815</v>
      </c>
      <c r="AG26">
        <f t="shared" ca="1" si="16"/>
        <v>0.90260098460235727</v>
      </c>
      <c r="AH26">
        <f t="shared" ca="1" si="16"/>
        <v>0.90291360720865843</v>
      </c>
      <c r="AI26">
        <f t="shared" ca="1" si="16"/>
        <v>0.903207646621208</v>
      </c>
    </row>
    <row r="27" spans="1:35">
      <c r="A27" t="s">
        <v>14</v>
      </c>
      <c r="B27" s="27">
        <f ca="1">fbar*C27</f>
        <v>4.2658281134050721E-2</v>
      </c>
      <c r="C27" s="35">
        <f ca="1">CHOOSE(type,E35,E38)</f>
        <v>0.22689012387218618</v>
      </c>
      <c r="J27" s="8" t="s">
        <v>31</v>
      </c>
      <c r="K27">
        <f t="shared" ref="K27:AI27" ca="1" si="17">qa2_/wa</f>
        <v>2.3822497255291255E-26</v>
      </c>
      <c r="L27">
        <f t="shared" ca="1" si="17"/>
        <v>7.7474566068399054E-18</v>
      </c>
      <c r="M27">
        <f t="shared" ca="1" si="17"/>
        <v>2.5196550308905517E-9</v>
      </c>
      <c r="N27">
        <f t="shared" ca="1" si="17"/>
        <v>0.40157227596479478</v>
      </c>
      <c r="O27">
        <f t="shared" ca="1" si="17"/>
        <v>0.58047480921670924</v>
      </c>
      <c r="P27">
        <f t="shared" ca="1" si="17"/>
        <v>0.43605740063345638</v>
      </c>
      <c r="Q27">
        <f t="shared" ca="1" si="17"/>
        <v>0.29749226222221375</v>
      </c>
      <c r="R27">
        <f t="shared" ca="1" si="17"/>
        <v>0.19912822652032003</v>
      </c>
      <c r="S27">
        <f t="shared" ca="1" si="17"/>
        <v>0.13294098113336753</v>
      </c>
      <c r="T27">
        <f t="shared" ca="1" si="17"/>
        <v>8.9279509045461128E-2</v>
      </c>
      <c r="U27">
        <f t="shared" ca="1" si="17"/>
        <v>5.9982081497712926E-2</v>
      </c>
      <c r="V27">
        <f t="shared" ca="1" si="17"/>
        <v>4.0279303398399927E-2</v>
      </c>
      <c r="W27">
        <f t="shared" ca="1" si="17"/>
        <v>2.7037640434085922E-2</v>
      </c>
      <c r="X27">
        <f t="shared" ca="1" si="17"/>
        <v>1.8143996543841127E-2</v>
      </c>
      <c r="Y27">
        <f t="shared" ca="1" si="17"/>
        <v>1.2173374083244032E-2</v>
      </c>
      <c r="Z27">
        <f t="shared" ca="1" si="17"/>
        <v>8.1663440180771707E-3</v>
      </c>
      <c r="AA27">
        <f t="shared" ca="1" si="17"/>
        <v>5.4777209911710178E-3</v>
      </c>
      <c r="AB27">
        <f t="shared" ca="1" si="17"/>
        <v>3.6739998582481078E-3</v>
      </c>
      <c r="AC27">
        <f t="shared" ca="1" si="17"/>
        <v>2.464070855585667E-3</v>
      </c>
      <c r="AD27">
        <f t="shared" ca="1" si="17"/>
        <v>1.652522878911763E-3</v>
      </c>
      <c r="AE27">
        <f t="shared" ca="1" si="17"/>
        <v>1.1082194418234681E-3</v>
      </c>
      <c r="AF27">
        <f t="shared" ca="1" si="17"/>
        <v>7.4317432992761494E-4</v>
      </c>
      <c r="AG27">
        <f t="shared" ca="1" si="17"/>
        <v>4.9836116823590904E-4</v>
      </c>
      <c r="AH27">
        <f t="shared" ca="1" si="17"/>
        <v>3.3418553672159753E-4</v>
      </c>
      <c r="AI27">
        <f t="shared" ca="1" si="17"/>
        <v>2.2408981528489162E-4</v>
      </c>
    </row>
    <row r="28" spans="1:35">
      <c r="A28" t="s">
        <v>15</v>
      </c>
      <c r="B28" s="27">
        <f ca="1">fbar*C28</f>
        <v>0.10753037043847541</v>
      </c>
      <c r="C28" s="35">
        <f ca="1">CHOOSE(type,E36,E39)</f>
        <v>0.57193066434486739</v>
      </c>
      <c r="J28" s="8" t="s">
        <v>32</v>
      </c>
      <c r="K28">
        <f t="shared" ref="K28:AI28" ca="1" si="18">qa3_/wa</f>
        <v>6.835220959948564E-13</v>
      </c>
      <c r="L28">
        <f t="shared" ca="1" si="18"/>
        <v>1.6646517863490888E-8</v>
      </c>
      <c r="M28">
        <f t="shared" ca="1" si="18"/>
        <v>4.9736223217648791E-5</v>
      </c>
      <c r="N28">
        <f t="shared" ca="1" si="18"/>
        <v>1.1598553222901323E-2</v>
      </c>
      <c r="O28">
        <f t="shared" ca="1" si="18"/>
        <v>0.3580572395459331</v>
      </c>
      <c r="P28">
        <f t="shared" ca="1" si="18"/>
        <v>0.79445567296709185</v>
      </c>
      <c r="Q28">
        <f t="shared" ca="1" si="18"/>
        <v>0.80529624373879249</v>
      </c>
      <c r="R28">
        <f t="shared" ca="1" si="18"/>
        <v>0.76769006142808738</v>
      </c>
      <c r="S28">
        <f t="shared" ca="1" si="18"/>
        <v>0.72762943596240948</v>
      </c>
      <c r="T28">
        <f t="shared" ca="1" si="18"/>
        <v>0.693492500940601</v>
      </c>
      <c r="U28">
        <f t="shared" ca="1" si="18"/>
        <v>0.66118553586625395</v>
      </c>
      <c r="V28">
        <f t="shared" ca="1" si="18"/>
        <v>0.63007113732494457</v>
      </c>
      <c r="W28">
        <f t="shared" ca="1" si="18"/>
        <v>0.60017864460783765</v>
      </c>
      <c r="X28">
        <f t="shared" ca="1" si="18"/>
        <v>0.5715421134773605</v>
      </c>
      <c r="Y28">
        <f t="shared" ca="1" si="18"/>
        <v>0.54416367734640569</v>
      </c>
      <c r="Z28">
        <f t="shared" ca="1" si="18"/>
        <v>0.51802348361426442</v>
      </c>
      <c r="AA28">
        <f t="shared" ca="1" si="18"/>
        <v>0.4930884481312991</v>
      </c>
      <c r="AB28">
        <f t="shared" ca="1" si="18"/>
        <v>0.46931795718163372</v>
      </c>
      <c r="AC28">
        <f t="shared" ca="1" si="18"/>
        <v>0.44666747362512521</v>
      </c>
      <c r="AD28">
        <f t="shared" ca="1" si="18"/>
        <v>0.42509080128019266</v>
      </c>
      <c r="AE28">
        <f t="shared" ca="1" si="18"/>
        <v>0.40454149480372309</v>
      </c>
      <c r="AF28">
        <f t="shared" ca="1" si="18"/>
        <v>0.38497372549741021</v>
      </c>
      <c r="AG28">
        <f t="shared" ca="1" si="18"/>
        <v>0.36634280097844163</v>
      </c>
      <c r="AH28">
        <f t="shared" ca="1" si="18"/>
        <v>0.34860546503656564</v>
      </c>
      <c r="AI28">
        <f t="shared" ca="1" si="18"/>
        <v>0.33172005831293216</v>
      </c>
    </row>
    <row r="29" spans="1:35">
      <c r="A29" t="s">
        <v>19</v>
      </c>
      <c r="B29" s="27">
        <f ca="1">fbar*C29</f>
        <v>3.7824296748139315E-2</v>
      </c>
      <c r="C29" s="35">
        <f ca="1">CHOOSE(type,E37,E40)</f>
        <v>0.20117921178294643</v>
      </c>
    </row>
    <row r="30" spans="1:35">
      <c r="A30" t="s">
        <v>94</v>
      </c>
      <c r="B30" s="27">
        <v>0.18801294832066545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-135.92378311495099</v>
      </c>
      <c r="H31">
        <f ca="1">Ro/(reck-1)*phie/phif^2*dphif</f>
        <v>-3.3902277932231689E-2</v>
      </c>
      <c r="J31" s="8" t="s">
        <v>52</v>
      </c>
      <c r="K31">
        <v>0</v>
      </c>
      <c r="L31">
        <f ca="1">K31*sa-K$7*K18*K$10</f>
        <v>-3.4590171139288036E-9</v>
      </c>
      <c r="M31">
        <f t="shared" ref="M31:AH31" ca="1" si="19">L31*sa-L$7*L18*L$10</f>
        <v>-3.9246084410203921E-8</v>
      </c>
      <c r="N31">
        <f t="shared" ca="1" si="19"/>
        <v>-4.1267547346269551E-7</v>
      </c>
      <c r="O31">
        <f t="shared" ca="1" si="19"/>
        <v>-4.389313130503238E-6</v>
      </c>
      <c r="P31">
        <f t="shared" ca="1" si="19"/>
        <v>-1.1785440706779429E-4</v>
      </c>
      <c r="Q31">
        <f t="shared" ca="1" si="19"/>
        <v>-2.168823819639456E-3</v>
      </c>
      <c r="R31">
        <f t="shared" ca="1" si="19"/>
        <v>-2.1449866211247805E-2</v>
      </c>
      <c r="S31">
        <f t="shared" ca="1" si="19"/>
        <v>-0.12084245905587081</v>
      </c>
      <c r="T31">
        <f t="shared" ca="1" si="19"/>
        <v>-0.24745949108661092</v>
      </c>
      <c r="U31">
        <f t="shared" ca="1" si="19"/>
        <v>-0.32626738551596268</v>
      </c>
      <c r="V31">
        <f t="shared" ca="1" si="19"/>
        <v>-0.36429776348292697</v>
      </c>
      <c r="W31">
        <f t="shared" ca="1" si="19"/>
        <v>-0.37479142328416182</v>
      </c>
      <c r="X31">
        <f t="shared" ca="1" si="19"/>
        <v>-0.36746786958178229</v>
      </c>
      <c r="Y31">
        <f t="shared" ca="1" si="19"/>
        <v>-0.34909567856290158</v>
      </c>
      <c r="Z31">
        <f t="shared" ca="1" si="19"/>
        <v>-0.32435574247871518</v>
      </c>
      <c r="AA31">
        <f t="shared" ca="1" si="19"/>
        <v>-0.29645596232732391</v>
      </c>
      <c r="AB31">
        <f t="shared" ca="1" si="19"/>
        <v>-0.2675594533765126</v>
      </c>
      <c r="AC31">
        <f t="shared" ca="1" si="19"/>
        <v>-0.23908742461938515</v>
      </c>
      <c r="AD31">
        <f t="shared" ca="1" si="19"/>
        <v>-0.21193602875632539</v>
      </c>
      <c r="AE31">
        <f t="shared" ca="1" si="19"/>
        <v>-0.18663267154949023</v>
      </c>
      <c r="AF31">
        <f t="shared" ca="1" si="19"/>
        <v>-0.16344895180733104</v>
      </c>
      <c r="AG31">
        <f t="shared" ca="1" si="19"/>
        <v>-0.14248217944142444</v>
      </c>
      <c r="AH31">
        <f t="shared" ca="1" si="19"/>
        <v>-0.12371398248186258</v>
      </c>
      <c r="AI31">
        <f ca="1">(AH31*sa-AH$7*AH18*AH$10)/oa-AH$7*AH$10*flt1_*sa/oa^2</f>
        <v>-0.72369979206344204</v>
      </c>
    </row>
    <row r="32" spans="1:35">
      <c r="A32" s="11" t="s">
        <v>22</v>
      </c>
      <c r="B32" s="11"/>
      <c r="C32" s="11"/>
      <c r="G32">
        <f ca="1">SUMPRODUCT(dlz2_,wa,ma)</f>
        <v>-47.85742818557371</v>
      </c>
      <c r="H32">
        <f ca="1">Ro/(reck-1)*phie/phif^2*dphif</f>
        <v>-1.1936658870780603E-2</v>
      </c>
      <c r="J32" s="8" t="s">
        <v>53</v>
      </c>
      <c r="K32">
        <v>0</v>
      </c>
      <c r="L32">
        <f ca="1">K32*sa-K$7*K19*K$10</f>
        <v>-2.2080460400332663E-26</v>
      </c>
      <c r="M32">
        <f t="shared" ref="M32:AH32" ca="1" si="20">L32*sa-L$7*L19*L$10</f>
        <v>-6.180673752355762E-18</v>
      </c>
      <c r="N32">
        <f t="shared" ca="1" si="20"/>
        <v>-1.7301076360111303E-9</v>
      </c>
      <c r="O32">
        <f t="shared" ca="1" si="20"/>
        <v>-0.23153004846653713</v>
      </c>
      <c r="P32">
        <f t="shared" ca="1" si="20"/>
        <v>-0.45203497058785891</v>
      </c>
      <c r="Q32">
        <f t="shared" ca="1" si="20"/>
        <v>-0.52149374157393358</v>
      </c>
      <c r="R32">
        <f t="shared" ca="1" si="20"/>
        <v>-0.50193358978153235</v>
      </c>
      <c r="S32">
        <f t="shared" ca="1" si="20"/>
        <v>-0.44256271370699263</v>
      </c>
      <c r="T32">
        <f t="shared" ca="1" si="20"/>
        <v>-0.37524333094662893</v>
      </c>
      <c r="U32">
        <f t="shared" ca="1" si="20"/>
        <v>-0.31181253830410144</v>
      </c>
      <c r="V32">
        <f t="shared" ca="1" si="20"/>
        <v>-0.25616093424157588</v>
      </c>
      <c r="W32">
        <f t="shared" ca="1" si="20"/>
        <v>-0.20904900638392812</v>
      </c>
      <c r="X32">
        <f t="shared" ca="1" si="20"/>
        <v>-0.16995036978188463</v>
      </c>
      <c r="Y32">
        <f t="shared" ca="1" si="20"/>
        <v>-0.1378739874299906</v>
      </c>
      <c r="Z32">
        <f t="shared" ca="1" si="20"/>
        <v>-0.11173651213999934</v>
      </c>
      <c r="AA32">
        <f t="shared" ca="1" si="20"/>
        <v>-9.0522000044812284E-2</v>
      </c>
      <c r="AB32">
        <f t="shared" ca="1" si="20"/>
        <v>-7.3340583732522682E-2</v>
      </c>
      <c r="AC32">
        <f t="shared" ca="1" si="20"/>
        <v>-5.9440304507765045E-2</v>
      </c>
      <c r="AD32">
        <f t="shared" ca="1" si="20"/>
        <v>-4.8198583244369916E-2</v>
      </c>
      <c r="AE32">
        <f t="shared" ca="1" si="20"/>
        <v>-3.9106134255914783E-2</v>
      </c>
      <c r="AF32">
        <f t="shared" ca="1" si="20"/>
        <v>-3.1749326737935367E-2</v>
      </c>
      <c r="AG32">
        <f t="shared" ca="1" si="20"/>
        <v>-2.5793625610042954E-2</v>
      </c>
      <c r="AH32">
        <f t="shared" ca="1" si="20"/>
        <v>-2.0969095563193367E-2</v>
      </c>
      <c r="AI32">
        <f ca="1">(AH32*sa-AH$7*AH19*AH$10)/oa-AH$7*AH$10*flt2_*sa/oa^2</f>
        <v>-9.144204374601908E-2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-141.66623304245408</v>
      </c>
      <c r="H33">
        <f ca="1">Ro/(reck-1)*phie/phif^2*dphif</f>
        <v>-3.5334566888532225E-2</v>
      </c>
      <c r="J33" s="8" t="s">
        <v>54</v>
      </c>
      <c r="K33">
        <v>0</v>
      </c>
      <c r="L33">
        <f ca="1">K33*sa-K$7*K20*K$10</f>
        <v>-6.3353906232540714E-13</v>
      </c>
      <c r="M33">
        <f t="shared" ref="M33:AH33" ca="1" si="21">L33*sa-L$7*L20*L$10</f>
        <v>-1.3280606210585515E-8</v>
      </c>
      <c r="N33">
        <f t="shared" ca="1" si="21"/>
        <v>-3.4162005375492155E-5</v>
      </c>
      <c r="O33">
        <f t="shared" ca="1" si="21"/>
        <v>-6.7142489227922098E-3</v>
      </c>
      <c r="P33">
        <f t="shared" ca="1" si="21"/>
        <v>-0.17141303073810563</v>
      </c>
      <c r="Q33">
        <f t="shared" ca="1" si="21"/>
        <v>-0.42825836691189079</v>
      </c>
      <c r="R33">
        <f t="shared" ca="1" si="21"/>
        <v>-0.57559070513069288</v>
      </c>
      <c r="S33">
        <f t="shared" ca="1" si="21"/>
        <v>-0.63289543100551793</v>
      </c>
      <c r="T33">
        <f t="shared" ca="1" si="21"/>
        <v>-0.63569160082888243</v>
      </c>
      <c r="U33">
        <f t="shared" ca="1" si="21"/>
        <v>-0.6072932584968932</v>
      </c>
      <c r="V33">
        <f t="shared" ca="1" si="21"/>
        <v>-0.56195945475958975</v>
      </c>
      <c r="W33">
        <f t="shared" ca="1" si="21"/>
        <v>-0.50866664746692503</v>
      </c>
      <c r="X33">
        <f t="shared" ca="1" si="21"/>
        <v>-0.45305903651694596</v>
      </c>
      <c r="Y33">
        <f t="shared" ca="1" si="21"/>
        <v>-0.39860529492758073</v>
      </c>
      <c r="Z33">
        <f t="shared" ca="1" si="21"/>
        <v>-0.3473368955389366</v>
      </c>
      <c r="AA33">
        <f t="shared" ca="1" si="21"/>
        <v>-0.3003363731041207</v>
      </c>
      <c r="AB33">
        <f t="shared" ca="1" si="21"/>
        <v>-0.25806652519230266</v>
      </c>
      <c r="AC33">
        <f t="shared" ca="1" si="21"/>
        <v>-0.22059436769382734</v>
      </c>
      <c r="AD33">
        <f t="shared" ca="1" si="21"/>
        <v>-0.18774362886138035</v>
      </c>
      <c r="AE33">
        <f t="shared" ca="1" si="21"/>
        <v>-0.15919796927937355</v>
      </c>
      <c r="AF33">
        <f t="shared" ca="1" si="21"/>
        <v>-0.13456997851300459</v>
      </c>
      <c r="AG33">
        <f t="shared" ca="1" si="21"/>
        <v>-0.11344637586651113</v>
      </c>
      <c r="AH33">
        <f t="shared" ca="1" si="21"/>
        <v>-9.5416727843706445E-2</v>
      </c>
      <c r="AI33">
        <f ca="1">(AH33*sa-AH$7*AH20*AH$10)/oa-AH$7*AH$10*flt3_*sa/oa^2</f>
        <v>-0.48427603629140931</v>
      </c>
    </row>
    <row r="34" spans="1:35">
      <c r="A34" t="s">
        <v>27</v>
      </c>
      <c r="B34" s="1">
        <f ca="1">SUMPRODUCT(lz,wa,ma)</f>
        <v>19.091363392619641</v>
      </c>
      <c r="F34">
        <f ca="1">SUMPRODUCT(ak,1/phi)*tau</f>
        <v>3.7088712473530623</v>
      </c>
      <c r="G34" t="s">
        <v>57</v>
      </c>
      <c r="J34" s="8"/>
    </row>
    <row r="35" spans="1:35">
      <c r="A35" t="s">
        <v>33</v>
      </c>
      <c r="B35" s="1">
        <f ca="1">SUMPRODUCT(lz,ta1_)</f>
        <v>1.0516513545002304</v>
      </c>
      <c r="C35" s="123">
        <f ca="1">B11/(B35/SUM($B$35:$B$37))</f>
        <v>1.1466657891139844</v>
      </c>
      <c r="E35" s="16">
        <f ca="1">C35/SUM($C$35:$C$37)</f>
        <v>0.36242248438631625</v>
      </c>
      <c r="G35" s="1">
        <f ca="1">SUM(dqa11_)</f>
        <v>499.83409510266796</v>
      </c>
      <c r="H35" s="1">
        <f ca="1">SUM(dqa12_)</f>
        <v>512.31834806403299</v>
      </c>
      <c r="I35" s="10">
        <f ca="1">SUM(dqa13_)</f>
        <v>503.49833768210408</v>
      </c>
      <c r="J35" s="8" t="s">
        <v>62</v>
      </c>
      <c r="K35">
        <f ca="1">flt1_*qa1_+lz*wa*flt1_^2/za*(sa-oa/za)</f>
        <v>1.6147670776127758E-18</v>
      </c>
      <c r="L35">
        <f t="shared" ref="L35:AI35" ca="1" si="22">flt1_*qa1_+lz*wa*flt1_^2/za*(sa-oa/za)</f>
        <v>1.8176987645943998E-15</v>
      </c>
      <c r="M35">
        <f t="shared" ca="1" si="22"/>
        <v>7.944666071422495E-13</v>
      </c>
      <c r="N35">
        <f t="shared" ca="1" si="22"/>
        <v>2.6341086900757566E-10</v>
      </c>
      <c r="O35">
        <f t="shared" ca="1" si="22"/>
        <v>5.402535743988643E-7</v>
      </c>
      <c r="P35">
        <f t="shared" ca="1" si="22"/>
        <v>4.1169139778155178E-4</v>
      </c>
      <c r="Q35">
        <f t="shared" ca="1" si="22"/>
        <v>7.6725373251235379E-2</v>
      </c>
      <c r="R35">
        <f t="shared" ca="1" si="22"/>
        <v>4.1034902303159519</v>
      </c>
      <c r="S35">
        <f t="shared" ca="1" si="22"/>
        <v>16.327454584778831</v>
      </c>
      <c r="T35">
        <f t="shared" ca="1" si="22"/>
        <v>21.326991042679669</v>
      </c>
      <c r="U35">
        <f t="shared" ca="1" si="22"/>
        <v>23.763071660399032</v>
      </c>
      <c r="V35">
        <f t="shared" ca="1" si="22"/>
        <v>25.631402999532579</v>
      </c>
      <c r="W35">
        <f t="shared" ca="1" si="22"/>
        <v>27.177858696134951</v>
      </c>
      <c r="X35">
        <f t="shared" ca="1" si="22"/>
        <v>28.459280676345113</v>
      </c>
      <c r="Y35">
        <f t="shared" ca="1" si="22"/>
        <v>29.514927232460504</v>
      </c>
      <c r="Z35">
        <f t="shared" ca="1" si="22"/>
        <v>30.380150374085549</v>
      </c>
      <c r="AA35">
        <f t="shared" ca="1" si="22"/>
        <v>31.08655153586961</v>
      </c>
      <c r="AB35">
        <f t="shared" ca="1" si="22"/>
        <v>31.661648155790225</v>
      </c>
      <c r="AC35">
        <f t="shared" ca="1" si="22"/>
        <v>32.128915465620459</v>
      </c>
      <c r="AD35">
        <f t="shared" ca="1" si="22"/>
        <v>32.508081567706213</v>
      </c>
      <c r="AE35">
        <f t="shared" ca="1" si="22"/>
        <v>32.81554204335152</v>
      </c>
      <c r="AF35">
        <f t="shared" ca="1" si="22"/>
        <v>33.064809520963344</v>
      </c>
      <c r="AG35">
        <f t="shared" ca="1" si="22"/>
        <v>33.26695031825593</v>
      </c>
      <c r="AH35">
        <f t="shared" ca="1" si="22"/>
        <v>33.430983702795999</v>
      </c>
      <c r="AI35">
        <f t="shared" ca="1" si="22"/>
        <v>33.108847690415651</v>
      </c>
    </row>
    <row r="36" spans="1:35">
      <c r="A36" t="s">
        <v>34</v>
      </c>
      <c r="B36" s="1">
        <f ca="1">SUMPRODUCT(lz,ta2_)</f>
        <v>0.94811766549686549</v>
      </c>
      <c r="C36" s="123">
        <f t="shared" ref="C36:C37" ca="1" si="23">B12/(B36/SUM($B$35:$B$37))</f>
        <v>1.2718807740480647</v>
      </c>
      <c r="E36" s="16">
        <f t="shared" ref="E36:E37" ca="1" si="24">C36/SUM($C$35:$C$37)</f>
        <v>0.40199872914135487</v>
      </c>
      <c r="G36" s="1">
        <f ca="1">SUM(dqa21_)</f>
        <v>512.31834806403299</v>
      </c>
      <c r="H36" s="1">
        <f ca="1">SUM(dqa22_)</f>
        <v>9.4346140867671018</v>
      </c>
      <c r="I36" s="10">
        <f ca="1">SUM(dqa23_)</f>
        <v>509.86871783327575</v>
      </c>
      <c r="J36" s="8" t="s">
        <v>63</v>
      </c>
      <c r="K36">
        <f t="shared" ref="K36:AI36" ca="1" si="25">flt2_*qa2_+lz*wa*flt2_^2/za*(sa-oa/za)</f>
        <v>6.5799215252523436E-53</v>
      </c>
      <c r="L36">
        <f t="shared" ca="1" si="25"/>
        <v>5.2786770770688793E-35</v>
      </c>
      <c r="M36">
        <f t="shared" ca="1" si="25"/>
        <v>1.6426839900294272E-17</v>
      </c>
      <c r="N36">
        <f t="shared" ca="1" si="25"/>
        <v>0.85530897372987047</v>
      </c>
      <c r="O36">
        <f t="shared" ca="1" si="25"/>
        <v>2.9942893789941971</v>
      </c>
      <c r="P36">
        <f t="shared" ca="1" si="25"/>
        <v>2.4420240253862517</v>
      </c>
      <c r="Q36">
        <f t="shared" ca="1" si="25"/>
        <v>1.4808911745263138</v>
      </c>
      <c r="R36">
        <f t="shared" ca="1" si="25"/>
        <v>0.81452905536801279</v>
      </c>
      <c r="S36">
        <f t="shared" ca="1" si="25"/>
        <v>0.42600098069393938</v>
      </c>
      <c r="T36">
        <f t="shared" ca="1" si="25"/>
        <v>0.21640201893223387</v>
      </c>
      <c r="U36">
        <f t="shared" ca="1" si="25"/>
        <v>0.10701725560539899</v>
      </c>
      <c r="V36">
        <f t="shared" ca="1" si="25"/>
        <v>5.1816073220388073E-2</v>
      </c>
      <c r="W36">
        <f t="shared" ca="1" si="25"/>
        <v>2.4686277862386863E-2</v>
      </c>
      <c r="X36">
        <f t="shared" ca="1" si="25"/>
        <v>1.1615735457445448E-2</v>
      </c>
      <c r="Y36">
        <f t="shared" ca="1" si="25"/>
        <v>5.4131495605731026E-3</v>
      </c>
      <c r="Z36">
        <f t="shared" ca="1" si="25"/>
        <v>2.5037106416888836E-3</v>
      </c>
      <c r="AA36">
        <f t="shared" ca="1" si="25"/>
        <v>1.1512052767195205E-3</v>
      </c>
      <c r="AB36">
        <f t="shared" ca="1" si="25"/>
        <v>5.268655417740674E-4</v>
      </c>
      <c r="AC36">
        <f t="shared" ca="1" si="25"/>
        <v>2.402417166467081E-4</v>
      </c>
      <c r="AD36">
        <f t="shared" ca="1" si="25"/>
        <v>1.0922694637694511E-4</v>
      </c>
      <c r="AE36">
        <f t="shared" ca="1" si="25"/>
        <v>4.9545491255650729E-5</v>
      </c>
      <c r="AF36">
        <f t="shared" ca="1" si="25"/>
        <v>2.2432449228272475E-5</v>
      </c>
      <c r="AG36">
        <f t="shared" ca="1" si="25"/>
        <v>1.0141676987829472E-5</v>
      </c>
      <c r="AH36">
        <f t="shared" ca="1" si="25"/>
        <v>4.5796475913688173E-6</v>
      </c>
      <c r="AI36">
        <f t="shared" ca="1" si="25"/>
        <v>2.0380418221692877E-6</v>
      </c>
    </row>
    <row r="37" spans="1:35">
      <c r="A37" t="s">
        <v>35</v>
      </c>
      <c r="B37" s="1">
        <f ca="1">SUMPRODUCT(lz,ta3_)</f>
        <v>1.6179450479859758</v>
      </c>
      <c r="C37" s="123">
        <f t="shared" ca="1" si="23"/>
        <v>0.74534596148529386</v>
      </c>
      <c r="E37" s="16">
        <f t="shared" ca="1" si="24"/>
        <v>0.23557878647232885</v>
      </c>
      <c r="G37" s="1">
        <f ca="1">SUM(dqa31_)</f>
        <v>503.49833768210408</v>
      </c>
      <c r="H37" s="1">
        <f ca="1">SUM(dqa32_)</f>
        <v>509.86871783327575</v>
      </c>
      <c r="I37" s="1">
        <f ca="1">SUM(dqa33_)</f>
        <v>188.88420437025923</v>
      </c>
      <c r="J37" s="8" t="s">
        <v>64</v>
      </c>
      <c r="K37">
        <f t="shared" ref="K37:AI37" ca="1" si="26">flt3_*qa3_+lz*wa*flt3_^2/za*(sa-oa/za)</f>
        <v>5.4169055067959173E-26</v>
      </c>
      <c r="L37">
        <f t="shared" ca="1" si="26"/>
        <v>2.4369891311861791E-16</v>
      </c>
      <c r="M37">
        <f t="shared" ca="1" si="26"/>
        <v>6.4005524574295255E-9</v>
      </c>
      <c r="N37">
        <f t="shared" ca="1" si="26"/>
        <v>7.1351519112019233E-4</v>
      </c>
      <c r="O37">
        <f t="shared" ca="1" si="26"/>
        <v>1.1392838293164418</v>
      </c>
      <c r="P37">
        <f t="shared" ca="1" si="26"/>
        <v>8.1059132251483721</v>
      </c>
      <c r="Q37">
        <f t="shared" ca="1" si="26"/>
        <v>10.851334302571022</v>
      </c>
      <c r="R37">
        <f t="shared" ca="1" si="26"/>
        <v>12.106337182271091</v>
      </c>
      <c r="S37">
        <f t="shared" ca="1" si="26"/>
        <v>12.761841884363632</v>
      </c>
      <c r="T37">
        <f t="shared" ca="1" si="26"/>
        <v>13.056935533720829</v>
      </c>
      <c r="U37">
        <f t="shared" ca="1" si="26"/>
        <v>13.003415298695607</v>
      </c>
      <c r="V37">
        <f t="shared" ca="1" si="26"/>
        <v>12.678847165699375</v>
      </c>
      <c r="W37">
        <f t="shared" ca="1" si="26"/>
        <v>12.164075678905411</v>
      </c>
      <c r="X37">
        <f t="shared" ca="1" si="26"/>
        <v>11.525964471318684</v>
      </c>
      <c r="Y37">
        <f t="shared" ca="1" si="26"/>
        <v>10.816510831583132</v>
      </c>
      <c r="Z37">
        <f t="shared" ca="1" si="26"/>
        <v>10.074597147901324</v>
      </c>
      <c r="AA37">
        <f t="shared" ca="1" si="26"/>
        <v>9.3283023220100585</v>
      </c>
      <c r="AB37">
        <f t="shared" ca="1" si="26"/>
        <v>8.5971770064384021</v>
      </c>
      <c r="AC37">
        <f t="shared" ca="1" si="26"/>
        <v>7.8942467120738051</v>
      </c>
      <c r="AD37">
        <f t="shared" ca="1" si="26"/>
        <v>7.2276688268810627</v>
      </c>
      <c r="AE37">
        <f t="shared" ca="1" si="26"/>
        <v>6.6020492377718201</v>
      </c>
      <c r="AF37">
        <f t="shared" ca="1" si="26"/>
        <v>6.0194591669980655</v>
      </c>
      <c r="AG37">
        <f t="shared" ca="1" si="26"/>
        <v>5.4802037680541034</v>
      </c>
      <c r="AH37">
        <f t="shared" ca="1" si="26"/>
        <v>4.9833930498869723</v>
      </c>
      <c r="AI37">
        <f t="shared" ca="1" si="26"/>
        <v>4.4659342070583561</v>
      </c>
    </row>
    <row r="38" spans="1:35">
      <c r="A38" s="1" t="s">
        <v>36</v>
      </c>
      <c r="B38" s="1">
        <f ca="1">SUMPRODUCT(lz,qa1_)</f>
        <v>30.083769465091997</v>
      </c>
      <c r="C38">
        <f ca="1">B4/(B38/SUM($B$38:$B$40))</f>
        <v>0.8415062567379259</v>
      </c>
      <c r="E38" s="20">
        <f ca="1">C38/SUM($C$38:$C$40)</f>
        <v>0.22689012387218618</v>
      </c>
      <c r="F38">
        <f ca="1">tau*B4/(phi_q1*KK)</f>
        <v>0.22689012387218618</v>
      </c>
      <c r="G38" t="s">
        <v>69</v>
      </c>
      <c r="J38" s="8" t="s">
        <v>60</v>
      </c>
      <c r="K38">
        <f t="shared" ref="K38:AI38" ca="1" si="27">flt1_*qa1_+lz*wa*flt2_*flt1_/za*(sa-oa/za)</f>
        <v>3.1507938322072228E-18</v>
      </c>
      <c r="L38">
        <f t="shared" ca="1" si="27"/>
        <v>3.1317990473689255E-15</v>
      </c>
      <c r="M38">
        <f t="shared" ca="1" si="27"/>
        <v>1.2415507351006315E-12</v>
      </c>
      <c r="N38">
        <f t="shared" ca="1" si="27"/>
        <v>-6.6895868646615794E-6</v>
      </c>
      <c r="O38">
        <f t="shared" ca="1" si="27"/>
        <v>-4.2613351360014368E-4</v>
      </c>
      <c r="P38">
        <f t="shared" ca="1" si="27"/>
        <v>-7.3416239456700009E-3</v>
      </c>
      <c r="Q38">
        <f t="shared" ca="1" si="27"/>
        <v>2.8207366736562683E-2</v>
      </c>
      <c r="R38">
        <f t="shared" ca="1" si="27"/>
        <v>4.4302889851916234</v>
      </c>
      <c r="S38">
        <f t="shared" ca="1" si="27"/>
        <v>17.846289670787684</v>
      </c>
      <c r="T38">
        <f t="shared" ca="1" si="27"/>
        <v>22.969668720342142</v>
      </c>
      <c r="U38">
        <f t="shared" ca="1" si="27"/>
        <v>25.242886818241729</v>
      </c>
      <c r="V38">
        <f t="shared" ca="1" si="27"/>
        <v>26.915966104990616</v>
      </c>
      <c r="W38">
        <f t="shared" ca="1" si="27"/>
        <v>28.272417385856066</v>
      </c>
      <c r="X38">
        <f t="shared" ca="1" si="27"/>
        <v>29.380198601125443</v>
      </c>
      <c r="Y38">
        <f t="shared" ca="1" si="27"/>
        <v>30.282727876580001</v>
      </c>
      <c r="Z38">
        <f t="shared" ca="1" si="27"/>
        <v>31.01607518209671</v>
      </c>
      <c r="AA38">
        <f t="shared" ca="1" si="27"/>
        <v>31.610727958442425</v>
      </c>
      <c r="AB38">
        <f t="shared" ca="1" si="27"/>
        <v>32.092214136779383</v>
      </c>
      <c r="AC38">
        <f t="shared" ca="1" si="27"/>
        <v>32.481708080981726</v>
      </c>
      <c r="AD38">
        <f t="shared" ca="1" si="27"/>
        <v>32.796641185938576</v>
      </c>
      <c r="AE38">
        <f t="shared" ca="1" si="27"/>
        <v>33.051278656614841</v>
      </c>
      <c r="AF38">
        <f t="shared" ca="1" si="27"/>
        <v>33.257240009588152</v>
      </c>
      <c r="AG38">
        <f t="shared" ca="1" si="27"/>
        <v>33.423954660882281</v>
      </c>
      <c r="AH38">
        <f t="shared" ca="1" si="27"/>
        <v>33.559052248169685</v>
      </c>
      <c r="AI38">
        <f t="shared" ca="1" si="27"/>
        <v>33.668578861732257</v>
      </c>
    </row>
    <row r="39" spans="1:35">
      <c r="A39" s="1" t="s">
        <v>37</v>
      </c>
      <c r="B39" s="1">
        <f ca="1">SUMPRODUCT(lz,qa2_)</f>
        <v>11.934506411359671</v>
      </c>
      <c r="C39">
        <f t="shared" ref="C39:C40" ca="1" si="28">B5/(B39/SUM($B$38:$B$40))</f>
        <v>2.1212171964682138</v>
      </c>
      <c r="E39" s="20">
        <f t="shared" ref="E39:E40" ca="1" si="29">C39/SUM($C$38:$C$40)</f>
        <v>0.57193066434486739</v>
      </c>
      <c r="F39">
        <f ca="1">tau*B5/(phi_q2*KK)</f>
        <v>0.57193066434486739</v>
      </c>
      <c r="G39" s="1">
        <f ca="1">re*phi_q1+f1_*phi_q1*$H31+f1_*re*G35</f>
        <v>0.88433872033675409</v>
      </c>
      <c r="H39" s="1">
        <f ca="1">re*phi_q1+f1_*phi_q1*$H32+f1_*re*H35</f>
        <v>0.92214002926055039</v>
      </c>
      <c r="I39" s="1">
        <f ca="1">re*phi_q1+f1_*phi_q1*$H33+f1_*re*I35</f>
        <v>0.88532194503396267</v>
      </c>
      <c r="J39" s="8" t="s">
        <v>66</v>
      </c>
      <c r="K39">
        <f t="shared" ref="K39:AI39" ca="1" si="30">flt1_*qa1_+lz*wa*flt3_*flt1_/za*(sa-oa/za)</f>
        <v>3.150512499991232E-18</v>
      </c>
      <c r="L39">
        <f t="shared" ca="1" si="30"/>
        <v>2.6506336933352987E-15</v>
      </c>
      <c r="M39">
        <f t="shared" ca="1" si="30"/>
        <v>-3.9068882161971381E-11</v>
      </c>
      <c r="N39">
        <f t="shared" ca="1" si="30"/>
        <v>-1.9284454257780912E-7</v>
      </c>
      <c r="O39">
        <f t="shared" ca="1" si="30"/>
        <v>-2.625776308174341E-4</v>
      </c>
      <c r="P39">
        <f t="shared" ca="1" si="30"/>
        <v>-1.3797951160803981E-2</v>
      </c>
      <c r="Q39">
        <f t="shared" ca="1" si="30"/>
        <v>-7.9016539190487983E-2</v>
      </c>
      <c r="R39">
        <f t="shared" ca="1" si="30"/>
        <v>3.6805268325128262</v>
      </c>
      <c r="S39">
        <f t="shared" ca="1" si="30"/>
        <v>16.537413976973809</v>
      </c>
      <c r="T39">
        <f t="shared" ca="1" si="30"/>
        <v>21.724388287622475</v>
      </c>
      <c r="U39">
        <f t="shared" ca="1" si="30"/>
        <v>24.175917948918819</v>
      </c>
      <c r="V39">
        <f t="shared" ca="1" si="30"/>
        <v>26.030447528679193</v>
      </c>
      <c r="W39">
        <f t="shared" ca="1" si="30"/>
        <v>27.551405923625623</v>
      </c>
      <c r="X39">
        <f t="shared" ca="1" si="30"/>
        <v>28.801035549023389</v>
      </c>
      <c r="Y39">
        <f t="shared" ca="1" si="30"/>
        <v>29.822082126013747</v>
      </c>
      <c r="Z39">
        <f t="shared" ca="1" si="30"/>
        <v>30.652340843813381</v>
      </c>
      <c r="AA39">
        <f t="shared" ca="1" si="30"/>
        <v>31.325040040603866</v>
      </c>
      <c r="AB39">
        <f t="shared" ca="1" si="30"/>
        <v>31.868695922749826</v>
      </c>
      <c r="AC39">
        <f t="shared" ca="1" si="30"/>
        <v>32.307321303075341</v>
      </c>
      <c r="AD39">
        <f t="shared" ca="1" si="30"/>
        <v>32.660858554945342</v>
      </c>
      <c r="AE39">
        <f t="shared" ca="1" si="30"/>
        <v>32.945701676497251</v>
      </c>
      <c r="AF39">
        <f t="shared" ca="1" si="30"/>
        <v>33.175225956542036</v>
      </c>
      <c r="AG39">
        <f t="shared" ca="1" si="30"/>
        <v>33.360282120437546</v>
      </c>
      <c r="AH39">
        <f t="shared" ca="1" si="30"/>
        <v>33.509635437759407</v>
      </c>
      <c r="AI39">
        <f t="shared" ca="1" si="30"/>
        <v>33.463094913175922</v>
      </c>
    </row>
    <row r="40" spans="1:35">
      <c r="A40" s="1" t="s">
        <v>38</v>
      </c>
      <c r="B40" s="1">
        <f ca="1">SUMPRODUCT(lz,qa3_)</f>
        <v>33.929524294958902</v>
      </c>
      <c r="C40">
        <f t="shared" ca="1" si="28"/>
        <v>0.74614779414692234</v>
      </c>
      <c r="E40" s="20">
        <f t="shared" ca="1" si="29"/>
        <v>0.20117921178294643</v>
      </c>
      <c r="F40">
        <f ca="1">tau*B6/(phi_q3*KK)</f>
        <v>0.2011792117829464</v>
      </c>
      <c r="G40" s="1">
        <f ca="1">re*phi_q1+f1_*phi_q1*$H32+f1_*re*G36</f>
        <v>0.92214002926055039</v>
      </c>
      <c r="H40" s="1">
        <f ca="1">re*phi_q2+f2_*phi_q2*$H32+f2_*re*H36</f>
        <v>0.21840381459201924</v>
      </c>
      <c r="I40" s="1">
        <f ca="1">re*phi_q3+f3_*phi_q3*$H33+f3_*re*I36</f>
        <v>0.91515281551085037</v>
      </c>
      <c r="J40" s="8" t="s">
        <v>65</v>
      </c>
      <c r="K40">
        <f t="shared" ref="K40:AI40" ca="1" si="31">flt1_*qa1_+lz*wa*flt1_*flt2_/za*(sa-oa/za)</f>
        <v>3.1507938322072228E-18</v>
      </c>
      <c r="L40">
        <f t="shared" ca="1" si="31"/>
        <v>3.1317990473689255E-15</v>
      </c>
      <c r="M40">
        <f t="shared" ca="1" si="31"/>
        <v>1.2415507351006315E-12</v>
      </c>
      <c r="N40">
        <f t="shared" ca="1" si="31"/>
        <v>-6.6895868646615794E-6</v>
      </c>
      <c r="O40">
        <f t="shared" ca="1" si="31"/>
        <v>-4.2613351360014368E-4</v>
      </c>
      <c r="P40">
        <f t="shared" ca="1" si="31"/>
        <v>-7.3416239456700009E-3</v>
      </c>
      <c r="Q40">
        <f t="shared" ca="1" si="31"/>
        <v>2.8207366736562683E-2</v>
      </c>
      <c r="R40">
        <f t="shared" ca="1" si="31"/>
        <v>4.4302889851916234</v>
      </c>
      <c r="S40">
        <f t="shared" ca="1" si="31"/>
        <v>17.846289670787684</v>
      </c>
      <c r="T40">
        <f t="shared" ca="1" si="31"/>
        <v>22.969668720342142</v>
      </c>
      <c r="U40">
        <f t="shared" ca="1" si="31"/>
        <v>25.242886818241729</v>
      </c>
      <c r="V40">
        <f t="shared" ca="1" si="31"/>
        <v>26.915966104990616</v>
      </c>
      <c r="W40">
        <f t="shared" ca="1" si="31"/>
        <v>28.272417385856066</v>
      </c>
      <c r="X40">
        <f t="shared" ca="1" si="31"/>
        <v>29.380198601125443</v>
      </c>
      <c r="Y40">
        <f t="shared" ca="1" si="31"/>
        <v>30.282727876580001</v>
      </c>
      <c r="Z40">
        <f t="shared" ca="1" si="31"/>
        <v>31.01607518209671</v>
      </c>
      <c r="AA40">
        <f t="shared" ca="1" si="31"/>
        <v>31.610727958442425</v>
      </c>
      <c r="AB40">
        <f t="shared" ca="1" si="31"/>
        <v>32.092214136779383</v>
      </c>
      <c r="AC40">
        <f t="shared" ca="1" si="31"/>
        <v>32.481708080981726</v>
      </c>
      <c r="AD40">
        <f t="shared" ca="1" si="31"/>
        <v>32.796641185938576</v>
      </c>
      <c r="AE40">
        <f t="shared" ca="1" si="31"/>
        <v>33.051278656614841</v>
      </c>
      <c r="AF40">
        <f t="shared" ca="1" si="31"/>
        <v>33.257240009588152</v>
      </c>
      <c r="AG40">
        <f t="shared" ca="1" si="31"/>
        <v>33.423954660882281</v>
      </c>
      <c r="AH40">
        <f t="shared" ca="1" si="31"/>
        <v>33.559052248169685</v>
      </c>
      <c r="AI40">
        <f t="shared" ca="1" si="31"/>
        <v>33.668578861732257</v>
      </c>
    </row>
    <row r="41" spans="1:35">
      <c r="A41" s="1" t="s">
        <v>170</v>
      </c>
      <c r="B41" s="1">
        <f ca="1">SUM(B38:B40)</f>
        <v>75.947800171410563</v>
      </c>
      <c r="G41" s="1">
        <f ca="1">re*phi_q1+f1_*phi_q1*$H33+f1_*re*G37</f>
        <v>0.88532194503396267</v>
      </c>
      <c r="H41" s="1">
        <f ca="1">re*phi_q3+f3_*phi_q3*$H33+f3_*re*H37</f>
        <v>0.91515281551085037</v>
      </c>
      <c r="I41" s="1">
        <f ca="1">re*phi_q3+f1_*phi_q3*$H33+f3_*re*I37</f>
        <v>0.6902189858900859</v>
      </c>
      <c r="J41" s="8" t="s">
        <v>67</v>
      </c>
      <c r="K41">
        <f t="shared" ref="K41:AI41" ca="1" si="32">flt1_*qa1_+lz*wa*flt3_*flt2_/za*(sa-oa/za)</f>
        <v>3.1507938322072228E-18</v>
      </c>
      <c r="L41">
        <f t="shared" ca="1" si="32"/>
        <v>3.131799047510868E-15</v>
      </c>
      <c r="M41">
        <f t="shared" ca="1" si="32"/>
        <v>1.0602861473425542E-12</v>
      </c>
      <c r="N41">
        <f t="shared" ca="1" si="32"/>
        <v>-1.101054385216833E-2</v>
      </c>
      <c r="O41">
        <f t="shared" ca="1" si="32"/>
        <v>-0.61986496782857303</v>
      </c>
      <c r="P41">
        <f t="shared" ca="1" si="32"/>
        <v>-1.101731894364524</v>
      </c>
      <c r="Q41">
        <f t="shared" ca="1" si="32"/>
        <v>-0.65601547897366141</v>
      </c>
      <c r="R41">
        <f t="shared" ca="1" si="32"/>
        <v>4.2418462606396874</v>
      </c>
      <c r="S41">
        <f t="shared" ca="1" si="32"/>
        <v>17.880203854164183</v>
      </c>
      <c r="T41">
        <f t="shared" ca="1" si="32"/>
        <v>23.009699192513366</v>
      </c>
      <c r="U41">
        <f t="shared" ca="1" si="32"/>
        <v>25.270592191184711</v>
      </c>
      <c r="V41">
        <f t="shared" ca="1" si="32"/>
        <v>26.933907963207915</v>
      </c>
      <c r="W41">
        <f t="shared" ca="1" si="32"/>
        <v>28.283675501507012</v>
      </c>
      <c r="X41">
        <f t="shared" ca="1" si="32"/>
        <v>29.387103003802288</v>
      </c>
      <c r="Y41">
        <f t="shared" ca="1" si="32"/>
        <v>30.286887572590302</v>
      </c>
      <c r="Z41">
        <f t="shared" ca="1" si="32"/>
        <v>31.018546166607756</v>
      </c>
      <c r="AA41">
        <f t="shared" ca="1" si="32"/>
        <v>31.612179259669567</v>
      </c>
      <c r="AB41">
        <f t="shared" ca="1" si="32"/>
        <v>32.093058741859991</v>
      </c>
      <c r="AC41">
        <f t="shared" ca="1" si="32"/>
        <v>32.482195929779088</v>
      </c>
      <c r="AD41">
        <f t="shared" ca="1" si="32"/>
        <v>32.796921230515714</v>
      </c>
      <c r="AE41">
        <f t="shared" ca="1" si="32"/>
        <v>33.051438589802814</v>
      </c>
      <c r="AF41">
        <f t="shared" ca="1" si="32"/>
        <v>33.257330956730463</v>
      </c>
      <c r="AG41">
        <f t="shared" ca="1" si="32"/>
        <v>33.424006193006399</v>
      </c>
      <c r="AH41">
        <f t="shared" ca="1" si="32"/>
        <v>33.559081358675996</v>
      </c>
      <c r="AI41">
        <f t="shared" ca="1" si="32"/>
        <v>33.668666752036337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3">flt1_*qa1_+lz*wa*flt1_*flt3_/za*(sa-oa/za)</f>
        <v>3.150512499991232E-18</v>
      </c>
      <c r="L42">
        <f t="shared" ca="1" si="33"/>
        <v>2.6506336933352987E-15</v>
      </c>
      <c r="M42">
        <f t="shared" ca="1" si="33"/>
        <v>-3.9068882161971381E-11</v>
      </c>
      <c r="N42">
        <f t="shared" ca="1" si="33"/>
        <v>-1.9284454257780907E-7</v>
      </c>
      <c r="O42">
        <f t="shared" ca="1" si="33"/>
        <v>-2.625776308174341E-4</v>
      </c>
      <c r="P42">
        <f t="shared" ca="1" si="33"/>
        <v>-1.3797951160803981E-2</v>
      </c>
      <c r="Q42">
        <f t="shared" ca="1" si="33"/>
        <v>-7.9016539190487983E-2</v>
      </c>
      <c r="R42">
        <f t="shared" ca="1" si="33"/>
        <v>3.6805268325128262</v>
      </c>
      <c r="S42">
        <f t="shared" ca="1" si="33"/>
        <v>16.537413976973809</v>
      </c>
      <c r="T42">
        <f t="shared" ca="1" si="33"/>
        <v>21.724388287622475</v>
      </c>
      <c r="U42">
        <f t="shared" ca="1" si="33"/>
        <v>24.175917948918819</v>
      </c>
      <c r="V42">
        <f t="shared" ca="1" si="33"/>
        <v>26.030447528679193</v>
      </c>
      <c r="W42">
        <f t="shared" ca="1" si="33"/>
        <v>27.551405923625623</v>
      </c>
      <c r="X42">
        <f t="shared" ca="1" si="33"/>
        <v>28.801035549023389</v>
      </c>
      <c r="Y42">
        <f t="shared" ca="1" si="33"/>
        <v>29.822082126013747</v>
      </c>
      <c r="Z42">
        <f t="shared" ca="1" si="33"/>
        <v>30.652340843813381</v>
      </c>
      <c r="AA42">
        <f t="shared" ca="1" si="33"/>
        <v>31.325040040603866</v>
      </c>
      <c r="AB42">
        <f t="shared" ca="1" si="33"/>
        <v>31.868695922749826</v>
      </c>
      <c r="AC42">
        <f t="shared" ca="1" si="33"/>
        <v>32.307321303075341</v>
      </c>
      <c r="AD42">
        <f t="shared" ca="1" si="33"/>
        <v>32.660858554945342</v>
      </c>
      <c r="AE42">
        <f t="shared" ca="1" si="33"/>
        <v>32.945701676497251</v>
      </c>
      <c r="AF42">
        <f t="shared" ca="1" si="33"/>
        <v>33.175225956542036</v>
      </c>
      <c r="AG42">
        <f t="shared" ca="1" si="33"/>
        <v>33.360282120437546</v>
      </c>
      <c r="AH42">
        <f t="shared" ca="1" si="33"/>
        <v>33.509635437759407</v>
      </c>
      <c r="AI42">
        <f t="shared" ca="1" si="33"/>
        <v>33.463094913175922</v>
      </c>
    </row>
    <row r="43" spans="1:35">
      <c r="A43" s="1" t="s">
        <v>40</v>
      </c>
      <c r="B43" s="1">
        <f ca="1">phif/phie</f>
        <v>0.39920596849490819</v>
      </c>
      <c r="J43" s="8" t="s">
        <v>61</v>
      </c>
      <c r="K43">
        <f t="shared" ref="K43:AI43" ca="1" si="34">flt1_*qa1_+lz*wa*flt2_*flt3_/za*(sa-oa/za)</f>
        <v>3.1507938322072228E-18</v>
      </c>
      <c r="L43">
        <f t="shared" ca="1" si="34"/>
        <v>3.131799047510868E-15</v>
      </c>
      <c r="M43">
        <f t="shared" ca="1" si="34"/>
        <v>1.0602861473425542E-12</v>
      </c>
      <c r="N43">
        <f t="shared" ca="1" si="34"/>
        <v>-1.101054385216833E-2</v>
      </c>
      <c r="O43">
        <f t="shared" ca="1" si="34"/>
        <v>-0.61986496782857303</v>
      </c>
      <c r="P43">
        <f t="shared" ca="1" si="34"/>
        <v>-1.101731894364524</v>
      </c>
      <c r="Q43">
        <f t="shared" ca="1" si="34"/>
        <v>-0.65601547897366141</v>
      </c>
      <c r="R43">
        <f t="shared" ca="1" si="34"/>
        <v>4.2418462606396874</v>
      </c>
      <c r="S43">
        <f t="shared" ca="1" si="34"/>
        <v>17.880203854164183</v>
      </c>
      <c r="T43">
        <f t="shared" ca="1" si="34"/>
        <v>23.009699192513366</v>
      </c>
      <c r="U43">
        <f t="shared" ca="1" si="34"/>
        <v>25.270592191184711</v>
      </c>
      <c r="V43">
        <f t="shared" ca="1" si="34"/>
        <v>26.933907963207915</v>
      </c>
      <c r="W43">
        <f t="shared" ca="1" si="34"/>
        <v>28.283675501507012</v>
      </c>
      <c r="X43">
        <f t="shared" ca="1" si="34"/>
        <v>29.387103003802288</v>
      </c>
      <c r="Y43">
        <f t="shared" ca="1" si="34"/>
        <v>30.286887572590302</v>
      </c>
      <c r="Z43">
        <f t="shared" ca="1" si="34"/>
        <v>31.018546166607756</v>
      </c>
      <c r="AA43">
        <f t="shared" ca="1" si="34"/>
        <v>31.612179259669567</v>
      </c>
      <c r="AB43">
        <f t="shared" ca="1" si="34"/>
        <v>32.093058741859991</v>
      </c>
      <c r="AC43">
        <f t="shared" ca="1" si="34"/>
        <v>32.482195929779088</v>
      </c>
      <c r="AD43">
        <f t="shared" ca="1" si="34"/>
        <v>32.796921230515714</v>
      </c>
      <c r="AE43">
        <f t="shared" ca="1" si="34"/>
        <v>33.051438589802814</v>
      </c>
      <c r="AF43">
        <f t="shared" ca="1" si="34"/>
        <v>33.257330956730463</v>
      </c>
      <c r="AG43">
        <f t="shared" ca="1" si="34"/>
        <v>33.424006193006399</v>
      </c>
      <c r="AH43">
        <f t="shared" ca="1" si="34"/>
        <v>33.559081358675996</v>
      </c>
      <c r="AI43">
        <f t="shared" ca="1" si="34"/>
        <v>33.668666752036337</v>
      </c>
    </row>
    <row r="44" spans="1:35">
      <c r="A44" s="1" t="s">
        <v>41</v>
      </c>
      <c r="B44" s="10">
        <f ca="1">MAX(0,Ro*(reck-1/spr)/(reck-1))</f>
        <v>1.8049435348361967E-2</v>
      </c>
    </row>
    <row r="45" spans="1:35">
      <c r="A45" s="1" t="s">
        <v>43</v>
      </c>
      <c r="B45" s="1">
        <f ca="1">f1_*re*phi_q1</f>
        <v>2.3163235582409895E-2</v>
      </c>
      <c r="C45" s="19">
        <f ca="1">ye_1/SUM(ye_1,ye_2,ye_3)</f>
        <v>0.33332999999999996</v>
      </c>
      <c r="J45" s="2" t="s">
        <v>86</v>
      </c>
    </row>
    <row r="46" spans="1:35" ht="19" thickBot="1">
      <c r="A46" s="1" t="s">
        <v>44</v>
      </c>
      <c r="B46" s="1">
        <f ca="1">f2_*re*phi_q2</f>
        <v>2.3163235582409895E-2</v>
      </c>
      <c r="C46" s="19">
        <f ca="1">ye_2/SUM(ye_1,ye_2,ye_3)</f>
        <v>0.33332999999999996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7.8401271045068836E-10</v>
      </c>
      <c r="L46">
        <f t="shared" ca="1" si="35"/>
        <v>5.5058850782793249E-8</v>
      </c>
      <c r="M46">
        <f t="shared" ca="1" si="35"/>
        <v>1.5439121088769131E-6</v>
      </c>
      <c r="N46">
        <f t="shared" ca="1" si="35"/>
        <v>3.1257695423044077E-5</v>
      </c>
      <c r="O46">
        <f t="shared" ca="1" si="35"/>
        <v>1.3639467273874599E-3</v>
      </c>
      <c r="P46">
        <f t="shared" ca="1" si="35"/>
        <v>3.3398818771362089E-2</v>
      </c>
      <c r="Q46">
        <f t="shared" ca="1" si="35"/>
        <v>0.39314339997009679</v>
      </c>
      <c r="R46">
        <f t="shared" ca="1" si="35"/>
        <v>2.451616659360532</v>
      </c>
      <c r="S46">
        <f t="shared" ca="1" si="35"/>
        <v>4.0809397545608128</v>
      </c>
      <c r="T46">
        <f t="shared" ca="1" si="35"/>
        <v>3.8259703366375462</v>
      </c>
      <c r="U46">
        <f t="shared" ca="1" si="35"/>
        <v>3.299331138485611</v>
      </c>
      <c r="V46">
        <f t="shared" ca="1" si="35"/>
        <v>2.7944281321450561</v>
      </c>
      <c r="W46">
        <f t="shared" ca="1" si="35"/>
        <v>2.3434859227251184</v>
      </c>
      <c r="X46">
        <f t="shared" ca="1" si="35"/>
        <v>1.9509854327140461</v>
      </c>
      <c r="Y46">
        <f t="shared" ca="1" si="35"/>
        <v>1.6151328612834954</v>
      </c>
      <c r="Z46">
        <f t="shared" ca="1" si="35"/>
        <v>1.3313598932682804</v>
      </c>
      <c r="AA46">
        <f t="shared" ca="1" si="35"/>
        <v>1.0938671283322015</v>
      </c>
      <c r="AB46">
        <f t="shared" ca="1" si="35"/>
        <v>0.89654070886779802</v>
      </c>
      <c r="AC46">
        <f t="shared" ca="1" si="35"/>
        <v>0.73348581590281958</v>
      </c>
      <c r="AD46">
        <f t="shared" ca="1" si="35"/>
        <v>0.59930852741523488</v>
      </c>
      <c r="AE46">
        <f t="shared" ca="1" si="35"/>
        <v>0.48923769791649757</v>
      </c>
      <c r="AF46">
        <f t="shared" ca="1" si="35"/>
        <v>0.39915011277803769</v>
      </c>
      <c r="AG46">
        <f t="shared" ca="1" si="35"/>
        <v>0.32554103261007139</v>
      </c>
      <c r="AH46">
        <f t="shared" ca="1" si="35"/>
        <v>0.26546713827216528</v>
      </c>
      <c r="AI46">
        <f t="shared" ca="1" si="35"/>
        <v>1.159982148897428</v>
      </c>
    </row>
    <row r="47" spans="1:35" ht="19" thickTop="1">
      <c r="A47" s="1" t="s">
        <v>45</v>
      </c>
      <c r="B47" s="1">
        <f ca="1">f3_*re*phi_q3</f>
        <v>2.3163930486426409E-2</v>
      </c>
      <c r="C47" s="19">
        <f ca="1">ye_3/SUM(ye_1,ye_2,ye_3)</f>
        <v>0.33333999999999997</v>
      </c>
      <c r="F47" t="s">
        <v>83</v>
      </c>
      <c r="G47" s="30">
        <f ca="1">G39/G53</f>
        <v>1</v>
      </c>
      <c r="H47" s="30">
        <f ca="1">H53/H39</f>
        <v>0.47658739894037322</v>
      </c>
      <c r="I47" s="30">
        <f ca="1">I53/I39</f>
        <v>0.88247323346729423</v>
      </c>
      <c r="J47" s="8" t="s">
        <v>76</v>
      </c>
      <c r="K47">
        <f t="shared" ref="K47:AI47" ca="1" si="36">lz*qa2_</f>
        <v>5.0047053935507708E-27</v>
      </c>
      <c r="L47">
        <f t="shared" ca="1" si="36"/>
        <v>9.382719513328425E-18</v>
      </c>
      <c r="M47">
        <f t="shared" ca="1" si="36"/>
        <v>7.0203984509979758E-9</v>
      </c>
      <c r="N47">
        <f t="shared" ca="1" si="36"/>
        <v>1.7811546286163416</v>
      </c>
      <c r="O47">
        <f t="shared" ca="1" si="36"/>
        <v>3.2110381733779065</v>
      </c>
      <c r="P47">
        <f t="shared" ca="1" si="36"/>
        <v>2.5722914673020223</v>
      </c>
      <c r="Q47">
        <f t="shared" ca="1" si="36"/>
        <v>1.7272016998018302</v>
      </c>
      <c r="R47">
        <f t="shared" ca="1" si="36"/>
        <v>1.0922678540185504</v>
      </c>
      <c r="S47">
        <f t="shared" ca="1" si="36"/>
        <v>0.65918336749658679</v>
      </c>
      <c r="T47">
        <f t="shared" ca="1" si="36"/>
        <v>0.38539622767326759</v>
      </c>
      <c r="U47">
        <f t="shared" ca="1" si="36"/>
        <v>0.2214121870439269</v>
      </c>
      <c r="V47">
        <f t="shared" ca="1" si="36"/>
        <v>0.12564320441278021</v>
      </c>
      <c r="W47">
        <f t="shared" ca="1" si="36"/>
        <v>7.0628915442981471E-2</v>
      </c>
      <c r="X47">
        <f t="shared" ca="1" si="36"/>
        <v>3.9415353286842696E-2</v>
      </c>
      <c r="Y47">
        <f t="shared" ca="1" si="36"/>
        <v>2.1873204237340328E-2</v>
      </c>
      <c r="Z47">
        <f t="shared" ca="1" si="36"/>
        <v>1.2086277958898885E-2</v>
      </c>
      <c r="AA47">
        <f t="shared" ca="1" si="36"/>
        <v>6.6566340689953474E-3</v>
      </c>
      <c r="AB47">
        <f t="shared" ca="1" si="36"/>
        <v>3.6572374037177357E-3</v>
      </c>
      <c r="AC47">
        <f t="shared" ca="1" si="36"/>
        <v>2.0057088841760459E-3</v>
      </c>
      <c r="AD47">
        <f t="shared" ca="1" si="36"/>
        <v>1.0985496321821492E-3</v>
      </c>
      <c r="AE47">
        <f t="shared" ca="1" si="36"/>
        <v>6.011490875679783E-4</v>
      </c>
      <c r="AF47">
        <f t="shared" ca="1" si="36"/>
        <v>3.2876955246200152E-4</v>
      </c>
      <c r="AG47">
        <f t="shared" ca="1" si="36"/>
        <v>1.797438869311152E-4</v>
      </c>
      <c r="AH47">
        <f t="shared" ca="1" si="36"/>
        <v>9.8254448019331376E-5</v>
      </c>
      <c r="AI47">
        <f t="shared" ca="1" si="36"/>
        <v>2.8779670594309239E-4</v>
      </c>
    </row>
    <row r="48" spans="1:35">
      <c r="A48" s="1" t="s">
        <v>72</v>
      </c>
      <c r="B48" s="1">
        <f ca="1">SUM(B45:B47)</f>
        <v>6.9490401651246203E-2</v>
      </c>
      <c r="F48" t="s">
        <v>84</v>
      </c>
      <c r="G48" s="30">
        <f ca="1">G40/G54</f>
        <v>2.0982510285067608</v>
      </c>
      <c r="H48" s="30">
        <f t="shared" ref="H48" ca="1" si="37">H40/H54</f>
        <v>0.99999999999999989</v>
      </c>
      <c r="I48" s="30">
        <f ca="1">I54/I40</f>
        <v>0.42425790215275078</v>
      </c>
      <c r="J48" s="8" t="s">
        <v>77</v>
      </c>
      <c r="K48">
        <f t="shared" ref="K48:AI48" ca="1" si="38">lz*qa3_</f>
        <v>1.435964787309097E-13</v>
      </c>
      <c r="L48">
        <f t="shared" ca="1" si="38"/>
        <v>2.0160113946150132E-8</v>
      </c>
      <c r="M48">
        <f t="shared" ca="1" si="38"/>
        <v>1.3857774185550332E-4</v>
      </c>
      <c r="N48">
        <f t="shared" ca="1" si="38"/>
        <v>5.1444828228218636E-2</v>
      </c>
      <c r="O48">
        <f t="shared" ca="1" si="38"/>
        <v>1.9806810669144417</v>
      </c>
      <c r="P48">
        <f t="shared" ca="1" si="38"/>
        <v>4.6864737205566511</v>
      </c>
      <c r="Q48">
        <f t="shared" ca="1" si="38"/>
        <v>4.6754461129167888</v>
      </c>
      <c r="R48">
        <f t="shared" ca="1" si="38"/>
        <v>4.2109709436992304</v>
      </c>
      <c r="S48">
        <f t="shared" ca="1" si="38"/>
        <v>3.6079259969216184</v>
      </c>
      <c r="T48">
        <f t="shared" ca="1" si="38"/>
        <v>2.9936252633973828</v>
      </c>
      <c r="U48">
        <f t="shared" ca="1" si="38"/>
        <v>2.4406378018665453</v>
      </c>
      <c r="V48">
        <f t="shared" ca="1" si="38"/>
        <v>1.9653804813480387</v>
      </c>
      <c r="W48">
        <f t="shared" ca="1" si="38"/>
        <v>1.5678130953783174</v>
      </c>
      <c r="X48">
        <f t="shared" ca="1" si="38"/>
        <v>1.2415971457327983</v>
      </c>
      <c r="Y48">
        <f t="shared" ca="1" si="38"/>
        <v>0.97775712565371375</v>
      </c>
      <c r="Z48">
        <f t="shared" ca="1" si="38"/>
        <v>0.76668038945453298</v>
      </c>
      <c r="AA48">
        <f t="shared" ca="1" si="38"/>
        <v>0.5992107608527838</v>
      </c>
      <c r="AB48">
        <f t="shared" ca="1" si="38"/>
        <v>0.46717671569522401</v>
      </c>
      <c r="AC48">
        <f t="shared" ca="1" si="38"/>
        <v>0.36357920393869797</v>
      </c>
      <c r="AD48">
        <f t="shared" ca="1" si="38"/>
        <v>0.28258812591925719</v>
      </c>
      <c r="AE48">
        <f t="shared" ca="1" si="38"/>
        <v>0.21944187342941657</v>
      </c>
      <c r="AF48">
        <f t="shared" ca="1" si="38"/>
        <v>0.17030679659473791</v>
      </c>
      <c r="AG48">
        <f t="shared" ca="1" si="38"/>
        <v>0.13212883184736149</v>
      </c>
      <c r="AH48">
        <f t="shared" ca="1" si="38"/>
        <v>0.1024940752364896</v>
      </c>
      <c r="AI48">
        <f t="shared" ca="1" si="38"/>
        <v>0.42602534147453935</v>
      </c>
    </row>
    <row r="49" spans="1:19">
      <c r="A49" s="1"/>
      <c r="B49" s="1"/>
      <c r="F49" t="s">
        <v>85</v>
      </c>
      <c r="G49" s="30">
        <f ca="1">G41/G55</f>
        <v>1.133178845630179</v>
      </c>
      <c r="H49" s="30">
        <f t="shared" ref="H49:I49" ca="1" si="39">H41/H55</f>
        <v>2.3570568631152042</v>
      </c>
      <c r="I49" s="30">
        <f t="shared" ca="1" si="39"/>
        <v>1.0000000000000002</v>
      </c>
    </row>
    <row r="50" spans="1:19">
      <c r="A50" s="22" t="s">
        <v>87</v>
      </c>
      <c r="B50" s="34">
        <f ca="1">f1_*phi_q1</f>
        <v>1.283321895413865</v>
      </c>
      <c r="C50">
        <f ca="1">AVERAGE(B50:B52)/B50</f>
        <v>1.0000100001000012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1.2833218954138652</v>
      </c>
      <c r="C51">
        <f ca="1">AVERAGE(B50:B52)/B51</f>
        <v>1.000010000100001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1.283360395455728</v>
      </c>
      <c r="C52">
        <f ca="1">AVERAGE(B50:B52)/B52</f>
        <v>0.99998000039999202</v>
      </c>
      <c r="G52" s="1">
        <f ca="1">G39^0.5</f>
        <v>0.94039285425653574</v>
      </c>
      <c r="H52" s="1">
        <f ca="1">H40^0.5</f>
        <v>0.46733693904079449</v>
      </c>
      <c r="I52" s="10">
        <f ca="1">I41^0.5</f>
        <v>0.83079418985094367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4.4861639135276063E-2</v>
      </c>
      <c r="C53">
        <f ca="1">AVERAGE(B53:B55)/B53</f>
        <v>1.5455722717827567</v>
      </c>
      <c r="G53">
        <f t="shared" ref="G53:I55" ca="1" si="40">G$52*$J53</f>
        <v>0.88433872033675409</v>
      </c>
      <c r="H53">
        <f t="shared" ca="1" si="40"/>
        <v>0.43948031800408538</v>
      </c>
      <c r="I53">
        <f t="shared" ca="1" si="40"/>
        <v>0.78127291949367517</v>
      </c>
      <c r="J53">
        <f t="array" aca="1" ref="J53:J55" ca="1">TRANSPOSE(G52:I52)</f>
        <v>0.94039285425653574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0.10195144379014046</v>
      </c>
      <c r="C54">
        <f ca="1">AVERAGE(B53:B55)/B54</f>
        <v>0.68009733787519244</v>
      </c>
      <c r="G54">
        <f t="shared" ca="1" si="40"/>
        <v>0.43948031800408538</v>
      </c>
      <c r="H54">
        <f t="shared" ca="1" si="40"/>
        <v>0.21840381459201927</v>
      </c>
      <c r="I54">
        <f t="shared" ca="1" si="40"/>
        <v>0.38826081365781673</v>
      </c>
      <c r="J54">
        <f ca="1"/>
        <v>0.46733693904079449</v>
      </c>
    </row>
    <row r="55" spans="1:19">
      <c r="A55" s="28" t="s">
        <v>92</v>
      </c>
      <c r="B55" s="33">
        <f ca="1">phi_t3*f3_</f>
        <v>6.1197633617204053E-2</v>
      </c>
      <c r="C55">
        <f ca="1">AVERAGE(B53:B55)/B55</f>
        <v>1.1329997814607435</v>
      </c>
      <c r="G55">
        <f t="shared" ca="1" si="40"/>
        <v>0.78127291949367517</v>
      </c>
      <c r="H55">
        <f t="shared" ca="1" si="40"/>
        <v>0.38826081365781673</v>
      </c>
      <c r="I55">
        <f t="shared" ca="1" si="40"/>
        <v>0.69021898589008579</v>
      </c>
      <c r="J55">
        <f ca="1"/>
        <v>0.83079418985094367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F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6" workbookViewId="0">
      <selection activeCell="N27" sqref="N27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19" t="s">
        <v>122</v>
      </c>
      <c r="B1" s="121">
        <v>79.168822149182773</v>
      </c>
      <c r="C1" s="121">
        <v>22.98361105407357</v>
      </c>
      <c r="D1" s="121"/>
      <c r="E1" s="121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19" t="s">
        <v>79</v>
      </c>
      <c r="B2" s="121">
        <f>(winf/a)^(1/b)</f>
        <v>150.8458480206651</v>
      </c>
      <c r="C2" s="121">
        <f>(winf/a)^(1/b)</f>
        <v>102.97947406727727</v>
      </c>
      <c r="D2" s="121"/>
      <c r="E2" s="121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19" t="s">
        <v>123</v>
      </c>
      <c r="B3" s="121">
        <v>7.9515419810206461E-2</v>
      </c>
      <c r="C3" s="121">
        <v>9.7480652282570968E-2</v>
      </c>
      <c r="D3" s="121"/>
      <c r="E3" s="121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19" t="s">
        <v>124</v>
      </c>
      <c r="B4" s="121">
        <v>0.59695167544184935</v>
      </c>
      <c r="C4" s="121">
        <v>1.2429889527598235</v>
      </c>
      <c r="D4" s="121"/>
      <c r="E4" s="121"/>
      <c r="L4" t="s">
        <v>165</v>
      </c>
      <c r="M4">
        <f>SUMXMY2(M12:O41,J12:L41)</f>
        <v>5.8949966412543194E-2</v>
      </c>
    </row>
    <row r="7" spans="1:20">
      <c r="A7" s="119" t="s">
        <v>150</v>
      </c>
      <c r="B7" s="121">
        <v>3.24</v>
      </c>
      <c r="C7" s="121">
        <v>3.24</v>
      </c>
      <c r="D7" s="121"/>
      <c r="E7" s="121"/>
    </row>
    <row r="8" spans="1:20">
      <c r="A8" s="119" t="s">
        <v>151</v>
      </c>
      <c r="B8" s="122">
        <v>6.9199999999999998E-6</v>
      </c>
      <c r="C8" s="122">
        <v>6.9199999999999998E-6</v>
      </c>
      <c r="D8" s="122"/>
      <c r="E8" s="122"/>
    </row>
    <row r="10" spans="1:20">
      <c r="A10" t="s">
        <v>110</v>
      </c>
      <c r="B10">
        <f>SUMXMY2(B12:C41,F12:G41)</f>
        <v>161.31985158810977</v>
      </c>
      <c r="D10" s="129" t="s">
        <v>161</v>
      </c>
      <c r="E10" s="129"/>
      <c r="H10" s="128" t="s">
        <v>156</v>
      </c>
      <c r="I10" s="128"/>
      <c r="J10" s="128" t="s">
        <v>157</v>
      </c>
      <c r="K10" s="128"/>
      <c r="L10" s="128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 t="shared" ref="B12:C41" si="0">winf*(1-EXP(-k*(Age+to)))^b</f>
        <v>8.0591250295953501E-2</v>
      </c>
      <c r="C12">
        <f t="shared" si="0"/>
        <v>0.11780516003848085</v>
      </c>
      <c r="D12">
        <f t="shared" ref="D12:D41" si="1">B$2*(1-EXP(-B$3*(Age+B$4)))</f>
        <v>17.988476469494113</v>
      </c>
      <c r="E12">
        <f t="shared" ref="E12:E41" si="2"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 t="shared" ref="M12:O26" si="3">(1/(1-s_3))*((1-s_3)/s_3)^(s_3)*EXP(1/s_2*s_3*(s_1-$D12))/(1+EXP(1/s_2*(s_1-$D12)))</f>
        <v>2.8364364654376901E-7</v>
      </c>
      <c r="N12" s="4">
        <f t="shared" si="3"/>
        <v>1.6335604703535903E-2</v>
      </c>
      <c r="O12" s="4">
        <f t="shared" si="3"/>
        <v>2.3634057221484672E-4</v>
      </c>
      <c r="Q12" s="40">
        <v>4.1028500000000002E-7</v>
      </c>
      <c r="R12" s="40">
        <v>9.9999999999999995E-7</v>
      </c>
      <c r="S12" s="40">
        <f t="shared" ref="S12:S41" si="4"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 t="shared" si="0"/>
        <v>0.34363370566266094</v>
      </c>
      <c r="C13">
        <f t="shared" si="0"/>
        <v>0.33451619799743121</v>
      </c>
      <c r="D13">
        <f t="shared" si="1"/>
        <v>28.143591925289599</v>
      </c>
      <c r="E13">
        <f t="shared" si="2"/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5">S13</f>
        <v>5.4634159833132317E-5</v>
      </c>
      <c r="K13">
        <v>8.2440600000000003E-2</v>
      </c>
      <c r="L13">
        <v>3.4747100000000002E-4</v>
      </c>
      <c r="M13" s="4">
        <f t="shared" si="3"/>
        <v>5.9386770559083851E-6</v>
      </c>
      <c r="N13" s="4">
        <f t="shared" si="3"/>
        <v>0.13190983706155679</v>
      </c>
      <c r="O13" s="4">
        <f t="shared" si="3"/>
        <v>1.3099502801474678E-3</v>
      </c>
      <c r="Q13" s="40">
        <v>2.7047600000000001E-6</v>
      </c>
      <c r="R13" s="40">
        <v>3.01682E-8</v>
      </c>
      <c r="S13" s="40">
        <f t="shared" si="4"/>
        <v>5.4634159833132317E-5</v>
      </c>
      <c r="T13" s="40">
        <f t="shared" ref="T13:T41" si="6">1-R13</f>
        <v>0.99999996983179995</v>
      </c>
    </row>
    <row r="14" spans="1:20">
      <c r="A14">
        <v>3</v>
      </c>
      <c r="B14">
        <f t="shared" si="0"/>
        <v>0.87259153282617763</v>
      </c>
      <c r="C14">
        <f t="shared" si="0"/>
        <v>0.68895181585083343</v>
      </c>
      <c r="D14">
        <f t="shared" si="1"/>
        <v>37.522488728582118</v>
      </c>
      <c r="E14">
        <f t="shared" si="2"/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5"/>
        <v>3.8888525246728363E-4</v>
      </c>
      <c r="K14">
        <v>0.62406499999999998</v>
      </c>
      <c r="L14">
        <v>3.3551800000000001E-3</v>
      </c>
      <c r="M14" s="4">
        <f t="shared" si="3"/>
        <v>9.8537741525171272E-5</v>
      </c>
      <c r="N14" s="4">
        <f t="shared" si="3"/>
        <v>0.58972979919539303</v>
      </c>
      <c r="O14" s="4">
        <f t="shared" si="3"/>
        <v>6.3614425246710914E-3</v>
      </c>
      <c r="Q14" s="40">
        <v>1.5832999999999999E-5</v>
      </c>
      <c r="R14" s="40">
        <v>9.9230800000000002E-7</v>
      </c>
      <c r="S14" s="40">
        <f t="shared" si="4"/>
        <v>3.8888525246728363E-4</v>
      </c>
      <c r="T14" s="40">
        <f t="shared" si="6"/>
        <v>0.99999900769200001</v>
      </c>
    </row>
    <row r="15" spans="1:20">
      <c r="A15">
        <v>4</v>
      </c>
      <c r="B15">
        <f t="shared" si="0"/>
        <v>1.7103062171013894</v>
      </c>
      <c r="C15">
        <f t="shared" si="0"/>
        <v>1.1820896822228117</v>
      </c>
      <c r="D15">
        <f t="shared" si="1"/>
        <v>46.184498100086614</v>
      </c>
      <c r="E15">
        <f t="shared" si="2"/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5"/>
        <v>2.7624309392265205E-3</v>
      </c>
      <c r="K15">
        <v>0.99904499999999996</v>
      </c>
      <c r="L15">
        <v>2.2178699999999999E-2</v>
      </c>
      <c r="M15" s="4">
        <f t="shared" si="3"/>
        <v>1.3175834188895359E-3</v>
      </c>
      <c r="N15" s="4">
        <f t="shared" si="3"/>
        <v>0.97541265754479078</v>
      </c>
      <c r="O15" s="4">
        <f t="shared" si="3"/>
        <v>2.7196301541123791E-2</v>
      </c>
      <c r="Q15" s="40">
        <v>8.1434500000000001E-5</v>
      </c>
      <c r="R15">
        <v>1.48636E-4</v>
      </c>
      <c r="S15" s="40">
        <f t="shared" si="4"/>
        <v>2.7624309392265205E-3</v>
      </c>
      <c r="T15" s="40">
        <f t="shared" si="6"/>
        <v>0.99985136399999996</v>
      </c>
    </row>
    <row r="16" spans="1:20">
      <c r="A16">
        <v>5</v>
      </c>
      <c r="B16">
        <f t="shared" si="0"/>
        <v>2.8698496560174056</v>
      </c>
      <c r="C16">
        <f t="shared" si="0"/>
        <v>1.8033046393626977</v>
      </c>
      <c r="D16">
        <f t="shared" si="1"/>
        <v>54.184416206200311</v>
      </c>
      <c r="E16">
        <f t="shared" si="2"/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5"/>
        <v>1.9342497699835048E-2</v>
      </c>
      <c r="K16">
        <v>0.99992899999999996</v>
      </c>
      <c r="L16">
        <v>0.100359</v>
      </c>
      <c r="M16" s="4">
        <f t="shared" si="3"/>
        <v>1.4278950209474584E-2</v>
      </c>
      <c r="N16" s="4">
        <f t="shared" si="3"/>
        <v>0.97212068404856788</v>
      </c>
      <c r="O16" s="4">
        <f t="shared" si="3"/>
        <v>0.10108378886134205</v>
      </c>
      <c r="Q16">
        <v>3.67432E-4</v>
      </c>
      <c r="R16">
        <v>7.2027599999999999E-3</v>
      </c>
      <c r="S16" s="40">
        <f t="shared" si="4"/>
        <v>1.9342497699835048E-2</v>
      </c>
      <c r="T16" s="40">
        <f t="shared" si="6"/>
        <v>0.99279724000000003</v>
      </c>
    </row>
    <row r="17" spans="1:20">
      <c r="A17">
        <v>6</v>
      </c>
      <c r="B17">
        <f t="shared" si="0"/>
        <v>4.3423747683644285</v>
      </c>
      <c r="C17">
        <f t="shared" si="0"/>
        <v>2.5351712654216572</v>
      </c>
      <c r="D17">
        <f t="shared" si="1"/>
        <v>61.57285080141822</v>
      </c>
      <c r="E17">
        <f t="shared" si="2"/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5"/>
        <v>0.12314713802987556</v>
      </c>
      <c r="K17">
        <v>0.97229699999999997</v>
      </c>
      <c r="L17">
        <v>0.31086599999999998</v>
      </c>
      <c r="M17" s="4">
        <f t="shared" si="3"/>
        <v>0.11695802776446525</v>
      </c>
      <c r="N17" s="4">
        <f t="shared" si="3"/>
        <v>0.87934257175245356</v>
      </c>
      <c r="O17" s="4">
        <f t="shared" si="3"/>
        <v>0.30678453968614672</v>
      </c>
      <c r="Q17">
        <v>1.4539500000000001E-3</v>
      </c>
      <c r="R17">
        <v>0.10777</v>
      </c>
      <c r="S17" s="40">
        <f t="shared" si="4"/>
        <v>0.12314713802987556</v>
      </c>
      <c r="T17" s="40">
        <f t="shared" si="6"/>
        <v>0.89222999999999997</v>
      </c>
    </row>
    <row r="18" spans="1:20">
      <c r="A18">
        <v>7</v>
      </c>
      <c r="B18">
        <f t="shared" si="0"/>
        <v>6.1040307381029963</v>
      </c>
      <c r="C18">
        <f t="shared" si="0"/>
        <v>3.3570001528537921</v>
      </c>
      <c r="D18">
        <f t="shared" si="1"/>
        <v>68.39654137471237</v>
      </c>
      <c r="E18">
        <f t="shared" si="2"/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5"/>
        <v>0.5</v>
      </c>
      <c r="K18">
        <v>0.87010799999999999</v>
      </c>
      <c r="L18">
        <v>0.65915699999999999</v>
      </c>
      <c r="M18" s="4">
        <f t="shared" si="3"/>
        <v>0.50576634258952136</v>
      </c>
      <c r="N18" s="4">
        <f t="shared" si="3"/>
        <v>0.78891484171584847</v>
      </c>
      <c r="O18" s="4">
        <f t="shared" si="3"/>
        <v>0.66289307656121965</v>
      </c>
      <c r="Q18">
        <v>5.0454899999999997E-3</v>
      </c>
      <c r="R18">
        <v>0.49762400000000001</v>
      </c>
      <c r="S18" s="40">
        <f t="shared" si="4"/>
        <v>0.5</v>
      </c>
      <c r="T18" s="40">
        <f t="shared" si="6"/>
        <v>0.50237599999999993</v>
      </c>
    </row>
    <row r="19" spans="1:20">
      <c r="A19">
        <v>8</v>
      </c>
      <c r="B19">
        <f t="shared" si="0"/>
        <v>8.1215608997688413</v>
      </c>
      <c r="C19">
        <f t="shared" si="0"/>
        <v>4.2472868091564102</v>
      </c>
      <c r="D19">
        <f t="shared" si="1"/>
        <v>74.698654825131271</v>
      </c>
      <c r="E19">
        <f t="shared" si="2"/>
        <v>61.153518420280442</v>
      </c>
      <c r="F19">
        <v>7.32</v>
      </c>
      <c r="G19">
        <v>5.19</v>
      </c>
      <c r="H19">
        <f t="shared" ref="H19:H41" si="7">1/(1+EXP(-(A19-ahat)/ghat))</f>
        <v>0.11669500804840012</v>
      </c>
      <c r="I19">
        <v>0.11700000000000001</v>
      </c>
      <c r="J19" s="40">
        <f t="shared" si="5"/>
        <v>0.87685286197012446</v>
      </c>
      <c r="K19">
        <v>0.73338099999999995</v>
      </c>
      <c r="L19">
        <v>0.956812</v>
      </c>
      <c r="M19" s="4">
        <f t="shared" si="3"/>
        <v>0.87159926141795308</v>
      </c>
      <c r="N19" s="4">
        <f t="shared" si="3"/>
        <v>0.71171413792260352</v>
      </c>
      <c r="O19" s="4">
        <f t="shared" si="3"/>
        <v>0.94130985460088645</v>
      </c>
      <c r="Q19">
        <v>1.5354400000000001E-2</v>
      </c>
      <c r="R19">
        <v>0.72506700000000002</v>
      </c>
      <c r="S19" s="40">
        <f t="shared" si="4"/>
        <v>0.87685286197012446</v>
      </c>
      <c r="T19" s="40">
        <f t="shared" si="6"/>
        <v>0.27493299999999998</v>
      </c>
    </row>
    <row r="20" spans="1:20">
      <c r="A20">
        <v>9</v>
      </c>
      <c r="B20">
        <f t="shared" si="0"/>
        <v>10.356615299778031</v>
      </c>
      <c r="C20">
        <f t="shared" si="0"/>
        <v>5.1853087831249134</v>
      </c>
      <c r="D20">
        <f t="shared" si="1"/>
        <v>80.519058537074145</v>
      </c>
      <c r="E20">
        <f t="shared" si="2"/>
        <v>65.038317694406203</v>
      </c>
      <c r="F20">
        <v>8.61</v>
      </c>
      <c r="G20">
        <v>5.83</v>
      </c>
      <c r="H20">
        <f t="shared" si="7"/>
        <v>0.18844133095417848</v>
      </c>
      <c r="I20">
        <v>0.189</v>
      </c>
      <c r="J20" s="40">
        <f t="shared" si="5"/>
        <v>0.98065750230016491</v>
      </c>
      <c r="K20">
        <v>0.60741199999999995</v>
      </c>
      <c r="L20">
        <v>0.99993900000000002</v>
      </c>
      <c r="M20" s="4">
        <f t="shared" si="3"/>
        <v>0.97536028929583096</v>
      </c>
      <c r="N20" s="4">
        <f t="shared" si="3"/>
        <v>0.64679455433425659</v>
      </c>
      <c r="O20" s="4">
        <f t="shared" si="3"/>
        <v>0.99739356180919092</v>
      </c>
      <c r="Q20">
        <v>4.0977E-2</v>
      </c>
      <c r="R20">
        <v>0.72564200000000001</v>
      </c>
      <c r="S20" s="40">
        <f t="shared" si="4"/>
        <v>0.98065750230016491</v>
      </c>
      <c r="T20" s="40">
        <f t="shared" si="6"/>
        <v>0.27435799999999999</v>
      </c>
    </row>
    <row r="21" spans="1:20">
      <c r="A21">
        <v>10</v>
      </c>
      <c r="B21">
        <f t="shared" si="0"/>
        <v>12.768945602324004</v>
      </c>
      <c r="C21">
        <f t="shared" si="0"/>
        <v>6.1520895060125795</v>
      </c>
      <c r="D21">
        <f t="shared" si="1"/>
        <v>85.894572582722859</v>
      </c>
      <c r="E21">
        <f t="shared" si="2"/>
        <v>68.562296392724463</v>
      </c>
      <c r="F21">
        <v>10.94</v>
      </c>
      <c r="G21">
        <v>6.89</v>
      </c>
      <c r="H21">
        <f t="shared" si="7"/>
        <v>0.28982520163491809</v>
      </c>
      <c r="I21">
        <v>0.28999999999999998</v>
      </c>
      <c r="J21" s="40">
        <f t="shared" si="5"/>
        <v>0.99723756906077354</v>
      </c>
      <c r="K21">
        <v>0.51769500000000002</v>
      </c>
      <c r="L21">
        <v>0.99763400000000002</v>
      </c>
      <c r="M21" s="4">
        <f t="shared" si="3"/>
        <v>0.99533622461559623</v>
      </c>
      <c r="N21" s="4">
        <f t="shared" si="3"/>
        <v>0.59204048448690971</v>
      </c>
      <c r="O21" s="4">
        <f t="shared" si="3"/>
        <v>0.93377755151852471</v>
      </c>
      <c r="Q21">
        <v>9.59005E-2</v>
      </c>
      <c r="R21">
        <v>0.72564499999999998</v>
      </c>
      <c r="S21" s="40">
        <f t="shared" si="4"/>
        <v>0.99723756906077354</v>
      </c>
      <c r="T21" s="40">
        <f t="shared" si="6"/>
        <v>0.27435500000000002</v>
      </c>
    </row>
    <row r="22" spans="1:20">
      <c r="A22">
        <v>11</v>
      </c>
      <c r="B22">
        <f t="shared" si="0"/>
        <v>15.318681949781213</v>
      </c>
      <c r="C22">
        <f t="shared" si="0"/>
        <v>7.1309094727395204</v>
      </c>
      <c r="D22">
        <f t="shared" si="1"/>
        <v>90.859202647073005</v>
      </c>
      <c r="E22">
        <f t="shared" si="2"/>
        <v>71.758967569254054</v>
      </c>
      <c r="F22">
        <v>14.14</v>
      </c>
      <c r="G22">
        <v>8.39</v>
      </c>
      <c r="H22">
        <f t="shared" si="7"/>
        <v>0.41768199627570923</v>
      </c>
      <c r="I22">
        <v>0.41799999999999998</v>
      </c>
      <c r="J22" s="40">
        <f t="shared" si="5"/>
        <v>0.99961111474753284</v>
      </c>
      <c r="K22">
        <v>0.46621699999999999</v>
      </c>
      <c r="L22">
        <v>0.877745</v>
      </c>
      <c r="M22" s="4">
        <f t="shared" si="3"/>
        <v>0.99917580738330347</v>
      </c>
      <c r="N22" s="4">
        <f t="shared" si="3"/>
        <v>0.54558252255377848</v>
      </c>
      <c r="O22" s="4">
        <f t="shared" si="3"/>
        <v>0.84191972227902467</v>
      </c>
      <c r="Q22">
        <v>0.196824</v>
      </c>
      <c r="R22">
        <v>0.72542899999999999</v>
      </c>
      <c r="S22" s="40">
        <f t="shared" si="4"/>
        <v>0.99961111474753284</v>
      </c>
      <c r="T22" s="40">
        <f t="shared" si="6"/>
        <v>0.27457100000000001</v>
      </c>
    </row>
    <row r="23" spans="1:20">
      <c r="A23">
        <v>12</v>
      </c>
      <c r="B23">
        <f t="shared" si="0"/>
        <v>17.967882472883002</v>
      </c>
      <c r="C23">
        <f t="shared" si="0"/>
        <v>8.1075056825163632</v>
      </c>
      <c r="D23">
        <f t="shared" si="1"/>
        <v>95.44435514905561</v>
      </c>
      <c r="E23">
        <f t="shared" si="2"/>
        <v>74.658731581939975</v>
      </c>
      <c r="F23">
        <v>17.64</v>
      </c>
      <c r="G23">
        <v>9.19</v>
      </c>
      <c r="H23">
        <f t="shared" si="7"/>
        <v>0.5576525626139911</v>
      </c>
      <c r="I23">
        <v>0.55700000000000005</v>
      </c>
      <c r="J23" s="40">
        <f t="shared" si="5"/>
        <v>0.9999453658401668</v>
      </c>
      <c r="K23">
        <v>0.44195099999999998</v>
      </c>
      <c r="L23">
        <v>0.70250800000000002</v>
      </c>
      <c r="M23" s="4">
        <f t="shared" si="3"/>
        <v>0.99991222545862457</v>
      </c>
      <c r="N23" s="4">
        <f t="shared" si="3"/>
        <v>0.50591668865659822</v>
      </c>
      <c r="O23" s="4">
        <f t="shared" si="3"/>
        <v>0.75402756644879798</v>
      </c>
      <c r="Q23">
        <v>0.35424899999999998</v>
      </c>
      <c r="R23">
        <v>0.61431199999999997</v>
      </c>
      <c r="S23" s="40">
        <f t="shared" si="4"/>
        <v>0.9999453658401668</v>
      </c>
      <c r="T23" s="40">
        <f t="shared" si="6"/>
        <v>0.38568800000000003</v>
      </c>
    </row>
    <row r="24" spans="1:20">
      <c r="A24">
        <v>13</v>
      </c>
      <c r="B24">
        <f t="shared" si="0"/>
        <v>20.681522180929427</v>
      </c>
      <c r="C24">
        <f t="shared" si="0"/>
        <v>9.0700652618957047</v>
      </c>
      <c r="D24">
        <f t="shared" si="1"/>
        <v>99.679035919613639</v>
      </c>
      <c r="E24">
        <f t="shared" si="2"/>
        <v>77.289165200200657</v>
      </c>
      <c r="F24">
        <v>19.920000000000002</v>
      </c>
      <c r="G24">
        <v>9.9</v>
      </c>
      <c r="H24">
        <f t="shared" si="7"/>
        <v>0.6890276304875329</v>
      </c>
      <c r="I24">
        <v>0.68899999999999995</v>
      </c>
      <c r="J24" s="40">
        <f t="shared" si="5"/>
        <v>0.99999232669848537</v>
      </c>
      <c r="K24">
        <v>0.432452</v>
      </c>
      <c r="L24">
        <v>0.60139100000000001</v>
      </c>
      <c r="M24" s="4">
        <f t="shared" si="3"/>
        <v>0.9999984360295282</v>
      </c>
      <c r="N24" s="4">
        <f t="shared" si="3"/>
        <v>0.4718481897149695</v>
      </c>
      <c r="O24" s="4">
        <f t="shared" si="3"/>
        <v>0.67751600239810272</v>
      </c>
      <c r="Q24">
        <v>0.55913199999999996</v>
      </c>
      <c r="R24">
        <v>0.29884899999999998</v>
      </c>
      <c r="S24" s="40">
        <f t="shared" si="4"/>
        <v>0.99999232669848537</v>
      </c>
      <c r="T24" s="40">
        <f t="shared" si="6"/>
        <v>0.70115100000000008</v>
      </c>
    </row>
    <row r="25" spans="1:20">
      <c r="A25">
        <v>14</v>
      </c>
      <c r="B25">
        <f t="shared" si="0"/>
        <v>23.428060198404992</v>
      </c>
      <c r="C25">
        <f t="shared" si="0"/>
        <v>10.009090622103578</v>
      </c>
      <c r="D25">
        <f t="shared" si="1"/>
        <v>103.59003369357639</v>
      </c>
      <c r="E25">
        <f t="shared" si="2"/>
        <v>79.675283860134996</v>
      </c>
      <c r="F25">
        <v>22.6</v>
      </c>
      <c r="G25">
        <v>10.06</v>
      </c>
      <c r="H25">
        <f t="shared" si="7"/>
        <v>0.79568071919478534</v>
      </c>
      <c r="I25">
        <v>0.79500000000000004</v>
      </c>
      <c r="J25" s="40">
        <f t="shared" si="5"/>
        <v>0.99999892233760723</v>
      </c>
      <c r="K25">
        <v>0.42934299999999997</v>
      </c>
      <c r="L25">
        <v>0.57030000000000003</v>
      </c>
      <c r="M25" s="4">
        <f t="shared" si="3"/>
        <v>0.99993874429527518</v>
      </c>
      <c r="N25" s="4">
        <f t="shared" si="3"/>
        <v>0.44242485182162405</v>
      </c>
      <c r="O25" s="4">
        <f t="shared" si="3"/>
        <v>0.61258428242154839</v>
      </c>
      <c r="Q25">
        <v>0.77392000000000005</v>
      </c>
      <c r="R25">
        <v>0.13281000000000001</v>
      </c>
      <c r="S25" s="40">
        <f t="shared" si="4"/>
        <v>0.99999892233760723</v>
      </c>
      <c r="T25" s="40">
        <f t="shared" si="6"/>
        <v>0.86719000000000002</v>
      </c>
    </row>
    <row r="26" spans="1:20">
      <c r="A26">
        <v>15</v>
      </c>
      <c r="B26">
        <f t="shared" si="0"/>
        <v>26.179697655464778</v>
      </c>
      <c r="C26">
        <f t="shared" si="0"/>
        <v>10.917191174065181</v>
      </c>
      <c r="D26">
        <f t="shared" si="1"/>
        <v>107.20208957610895</v>
      </c>
      <c r="E26">
        <f t="shared" si="2"/>
        <v>81.839779561437524</v>
      </c>
      <c r="F26">
        <v>24.53</v>
      </c>
      <c r="G26">
        <v>11.06</v>
      </c>
      <c r="H26">
        <f t="shared" si="7"/>
        <v>0.87252276488084946</v>
      </c>
      <c r="I26">
        <v>0.872</v>
      </c>
      <c r="J26" s="40">
        <f t="shared" si="5"/>
        <v>0.99999984865059099</v>
      </c>
      <c r="K26">
        <v>0.42848900000000001</v>
      </c>
      <c r="L26">
        <v>0.56481499999999996</v>
      </c>
      <c r="M26" s="4">
        <f t="shared" si="3"/>
        <v>0.99984753563761719</v>
      </c>
      <c r="N26" s="4">
        <f t="shared" si="3"/>
        <v>0.41688282204356231</v>
      </c>
      <c r="O26" s="4">
        <f t="shared" si="3"/>
        <v>0.55773094822713976</v>
      </c>
      <c r="Q26">
        <v>0.93940599999999996</v>
      </c>
      <c r="R26">
        <v>9.9476200000000001E-2</v>
      </c>
      <c r="S26" s="40">
        <f t="shared" si="4"/>
        <v>0.99999984865059099</v>
      </c>
      <c r="T26" s="40">
        <f t="shared" si="6"/>
        <v>0.90052379999999999</v>
      </c>
    </row>
    <row r="27" spans="1:20">
      <c r="A27">
        <v>16</v>
      </c>
      <c r="B27">
        <f t="shared" si="0"/>
        <v>28.912414951107664</v>
      </c>
      <c r="C27">
        <f t="shared" si="0"/>
        <v>11.788839683413327</v>
      </c>
      <c r="D27">
        <f t="shared" si="1"/>
        <v>110.53805355578629</v>
      </c>
      <c r="E27">
        <f t="shared" si="2"/>
        <v>83.803236668422315</v>
      </c>
      <c r="F27">
        <v>30.09</v>
      </c>
      <c r="G27">
        <v>11.53</v>
      </c>
      <c r="H27">
        <f t="shared" si="7"/>
        <v>0.92325291196511905</v>
      </c>
      <c r="I27">
        <v>0.92300000000000004</v>
      </c>
      <c r="J27" s="40">
        <f t="shared" si="5"/>
        <v>0.99999997874415447</v>
      </c>
      <c r="K27">
        <v>0.42829099999999998</v>
      </c>
      <c r="L27">
        <v>0.56424300000000005</v>
      </c>
      <c r="M27" s="4">
        <f t="shared" ref="M27:M41" si="8"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 t="shared" si="4"/>
        <v>0.99999997874415447</v>
      </c>
      <c r="T27" s="40">
        <f t="shared" si="6"/>
        <v>0.90340620000000005</v>
      </c>
    </row>
    <row r="28" spans="1:20">
      <c r="A28">
        <v>17</v>
      </c>
      <c r="B28">
        <f t="shared" si="0"/>
        <v>31.605857162379287</v>
      </c>
      <c r="C28">
        <f t="shared" si="0"/>
        <v>12.6201187866659</v>
      </c>
      <c r="D28">
        <f t="shared" si="1"/>
        <v>113.61902905439959</v>
      </c>
      <c r="E28">
        <f t="shared" si="2"/>
        <v>85.584327667424603</v>
      </c>
      <c r="F28">
        <v>34.26</v>
      </c>
      <c r="G28">
        <v>12.17</v>
      </c>
      <c r="H28">
        <f t="shared" si="7"/>
        <v>0.95483967802827752</v>
      </c>
      <c r="I28">
        <v>0.95499999999999996</v>
      </c>
      <c r="J28" s="40">
        <f t="shared" si="5"/>
        <v>0.99999999701478237</v>
      </c>
      <c r="K28">
        <v>0.42825299999999999</v>
      </c>
      <c r="L28">
        <v>0.56420700000000001</v>
      </c>
      <c r="M28" s="4">
        <f t="shared" si="8"/>
        <v>0.99966264011439743</v>
      </c>
      <c r="N28" s="4">
        <f t="shared" ref="N28:N41" si="9">N27</f>
        <v>0.41688282204356231</v>
      </c>
      <c r="O28" s="4">
        <f t="shared" ref="O28:O41" si="10">O27</f>
        <v>0.55773094822713976</v>
      </c>
      <c r="Q28">
        <v>0.99999700000000002</v>
      </c>
      <c r="R28">
        <v>9.6482200000000004E-2</v>
      </c>
      <c r="S28" s="40">
        <f t="shared" si="4"/>
        <v>0.99999999701478237</v>
      </c>
      <c r="T28" s="40">
        <f t="shared" si="6"/>
        <v>0.90351780000000004</v>
      </c>
    </row>
    <row r="29" spans="1:20">
      <c r="A29">
        <v>18</v>
      </c>
      <c r="B29">
        <f t="shared" si="0"/>
        <v>34.243119993698187</v>
      </c>
      <c r="C29">
        <f t="shared" si="0"/>
        <v>13.408474063086208</v>
      </c>
      <c r="D29">
        <f t="shared" si="1"/>
        <v>116.46450642792129</v>
      </c>
      <c r="E29">
        <f t="shared" si="2"/>
        <v>87.199990742233766</v>
      </c>
      <c r="F29">
        <v>33.229999999999997</v>
      </c>
      <c r="G29">
        <v>17.59</v>
      </c>
      <c r="H29">
        <f t="shared" si="7"/>
        <v>0.97379527616781825</v>
      </c>
      <c r="I29">
        <v>0.97399999999999998</v>
      </c>
      <c r="J29" s="40">
        <f t="shared" si="5"/>
        <v>0.99999999958074959</v>
      </c>
      <c r="K29">
        <v>0.42824600000000002</v>
      </c>
      <c r="L29">
        <v>0.56420599999999999</v>
      </c>
      <c r="M29" s="4">
        <f t="shared" si="8"/>
        <v>0.99957808085935118</v>
      </c>
      <c r="N29" s="4">
        <f t="shared" si="9"/>
        <v>0.41688282204356231</v>
      </c>
      <c r="O29" s="4">
        <f t="shared" si="10"/>
        <v>0.55773094822713976</v>
      </c>
      <c r="Q29">
        <v>1</v>
      </c>
      <c r="R29">
        <v>9.6480300000000005E-2</v>
      </c>
      <c r="S29" s="40">
        <f t="shared" si="4"/>
        <v>0.99999999958074959</v>
      </c>
      <c r="T29" s="40">
        <f t="shared" si="6"/>
        <v>0.90351970000000004</v>
      </c>
    </row>
    <row r="30" spans="1:20">
      <c r="A30">
        <v>19</v>
      </c>
      <c r="B30">
        <f t="shared" si="0"/>
        <v>36.810475489355611</v>
      </c>
      <c r="C30">
        <f t="shared" si="0"/>
        <v>14.152483556211587</v>
      </c>
      <c r="D30">
        <f t="shared" si="1"/>
        <v>119.09248626316123</v>
      </c>
      <c r="E30">
        <f t="shared" si="2"/>
        <v>88.665590856300966</v>
      </c>
      <c r="F30">
        <v>42.13</v>
      </c>
      <c r="G30">
        <v>13.46</v>
      </c>
      <c r="H30">
        <f t="shared" si="7"/>
        <v>0.98492010635237082</v>
      </c>
      <c r="I30">
        <v>0.98499999999999999</v>
      </c>
      <c r="J30" s="40">
        <f t="shared" si="5"/>
        <v>0.99999999994111954</v>
      </c>
      <c r="K30">
        <v>0.42824499999999999</v>
      </c>
      <c r="L30">
        <v>0.56420599999999999</v>
      </c>
      <c r="M30" s="4">
        <f t="shared" si="8"/>
        <v>0.9994996101794672</v>
      </c>
      <c r="N30" s="4">
        <f t="shared" si="9"/>
        <v>0.41688282204356231</v>
      </c>
      <c r="O30" s="4">
        <f t="shared" si="10"/>
        <v>0.55773094822713976</v>
      </c>
      <c r="Q30">
        <v>1</v>
      </c>
      <c r="R30">
        <v>9.6480300000000005E-2</v>
      </c>
      <c r="S30" s="40">
        <f t="shared" si="4"/>
        <v>0.99999999994111954</v>
      </c>
      <c r="T30" s="40">
        <f t="shared" si="6"/>
        <v>0.90351970000000004</v>
      </c>
    </row>
    <row r="31" spans="1:20">
      <c r="A31">
        <v>20</v>
      </c>
      <c r="B31">
        <f t="shared" si="0"/>
        <v>39.297066315159711</v>
      </c>
      <c r="C31">
        <f t="shared" si="0"/>
        <v>14.851649107842517</v>
      </c>
      <c r="D31">
        <f t="shared" si="1"/>
        <v>121.5195932500919</v>
      </c>
      <c r="E31">
        <f t="shared" si="2"/>
        <v>89.995065873613925</v>
      </c>
      <c r="F31">
        <v>39.68</v>
      </c>
      <c r="G31">
        <v>14.66</v>
      </c>
      <c r="H31">
        <f t="shared" si="7"/>
        <v>0.99136393815032031</v>
      </c>
      <c r="I31">
        <v>1</v>
      </c>
      <c r="J31" s="40">
        <f t="shared" si="5"/>
        <v>0.99999999999173061</v>
      </c>
      <c r="K31">
        <v>0.42824499999999999</v>
      </c>
      <c r="L31">
        <v>0.56420599999999999</v>
      </c>
      <c r="M31" s="4">
        <f t="shared" si="8"/>
        <v>0.99942699646323441</v>
      </c>
      <c r="N31" s="4">
        <f t="shared" si="9"/>
        <v>0.41688282204356231</v>
      </c>
      <c r="O31" s="4">
        <f t="shared" si="10"/>
        <v>0.55773094822713976</v>
      </c>
      <c r="Q31">
        <v>1</v>
      </c>
      <c r="R31">
        <v>9.6480300000000005E-2</v>
      </c>
      <c r="S31" s="40">
        <f t="shared" si="4"/>
        <v>0.99999999999173061</v>
      </c>
      <c r="T31" s="40">
        <f t="shared" si="6"/>
        <v>0.90351970000000004</v>
      </c>
    </row>
    <row r="32" spans="1:20">
      <c r="A32">
        <v>21</v>
      </c>
      <c r="B32">
        <f t="shared" si="0"/>
        <v>41.694589292671729</v>
      </c>
      <c r="C32">
        <f t="shared" si="0"/>
        <v>15.506211788443029</v>
      </c>
      <c r="D32">
        <f t="shared" si="1"/>
        <v>123.76118135020377</v>
      </c>
      <c r="E32">
        <f t="shared" si="2"/>
        <v>91.201059107849034</v>
      </c>
      <c r="F32">
        <v>35.659999999999997</v>
      </c>
      <c r="G32">
        <v>14.59</v>
      </c>
      <c r="H32">
        <f t="shared" si="7"/>
        <v>0.99506802631864344</v>
      </c>
      <c r="I32">
        <v>1</v>
      </c>
      <c r="J32" s="40">
        <f t="shared" si="5"/>
        <v>0.99999999999883871</v>
      </c>
      <c r="K32">
        <v>0.42824499999999999</v>
      </c>
      <c r="L32">
        <v>0.56420599999999999</v>
      </c>
      <c r="M32" s="4">
        <f t="shared" si="8"/>
        <v>0.99935987786439751</v>
      </c>
      <c r="N32" s="4">
        <f t="shared" si="9"/>
        <v>0.41688282204356231</v>
      </c>
      <c r="O32" s="4">
        <f t="shared" si="10"/>
        <v>0.55773094822713976</v>
      </c>
      <c r="Q32">
        <v>1</v>
      </c>
      <c r="R32">
        <v>9.6480300000000005E-2</v>
      </c>
      <c r="S32" s="40">
        <f t="shared" si="4"/>
        <v>0.99999999999883871</v>
      </c>
      <c r="T32" s="40">
        <f t="shared" si="6"/>
        <v>0.90351970000000004</v>
      </c>
    </row>
    <row r="33" spans="1:20">
      <c r="A33">
        <v>22</v>
      </c>
      <c r="B33">
        <f t="shared" si="0"/>
        <v>43.996982619123791</v>
      </c>
      <c r="C33">
        <f t="shared" si="0"/>
        <v>16.116991683496067</v>
      </c>
      <c r="D33">
        <f t="shared" si="1"/>
        <v>125.83143092618859</v>
      </c>
      <c r="E33">
        <f t="shared" si="2"/>
        <v>92.295039560344051</v>
      </c>
      <c r="F33">
        <v>46.31</v>
      </c>
      <c r="G33">
        <v>15.71</v>
      </c>
      <c r="H33">
        <f t="shared" si="7"/>
        <v>0.99718790277559233</v>
      </c>
      <c r="I33">
        <v>1</v>
      </c>
      <c r="J33" s="40">
        <f t="shared" si="5"/>
        <v>0.9999999999998368</v>
      </c>
      <c r="K33">
        <v>0.42824499999999999</v>
      </c>
      <c r="L33">
        <v>0.56420599999999999</v>
      </c>
      <c r="M33" s="4">
        <f t="shared" si="8"/>
        <v>0.99929786765415352</v>
      </c>
      <c r="N33" s="4">
        <f t="shared" si="9"/>
        <v>0.41688282204356231</v>
      </c>
      <c r="O33" s="4">
        <f t="shared" si="10"/>
        <v>0.55773094822713976</v>
      </c>
      <c r="Q33">
        <v>1</v>
      </c>
      <c r="R33">
        <v>9.6480300000000005E-2</v>
      </c>
      <c r="S33" s="40">
        <f t="shared" si="4"/>
        <v>0.9999999999998368</v>
      </c>
      <c r="T33" s="40">
        <f t="shared" si="6"/>
        <v>0.90351970000000004</v>
      </c>
    </row>
    <row r="34" spans="1:20">
      <c r="A34">
        <v>23</v>
      </c>
      <c r="B34">
        <f t="shared" si="0"/>
        <v>46.200126459138957</v>
      </c>
      <c r="C34">
        <f t="shared" si="0"/>
        <v>16.685251024350396</v>
      </c>
      <c r="D34">
        <f t="shared" si="1"/>
        <v>127.74343844739712</v>
      </c>
      <c r="E34">
        <f t="shared" si="2"/>
        <v>93.287410990354857</v>
      </c>
      <c r="F34">
        <v>48.46</v>
      </c>
      <c r="G34">
        <v>16.7</v>
      </c>
      <c r="H34">
        <f t="shared" si="7"/>
        <v>0.99839807412349324</v>
      </c>
      <c r="I34">
        <v>1</v>
      </c>
      <c r="J34" s="40">
        <f t="shared" si="5"/>
        <v>0.99999999999997713</v>
      </c>
      <c r="K34">
        <v>0.42824499999999999</v>
      </c>
      <c r="L34">
        <v>0.56420599999999999</v>
      </c>
      <c r="M34" s="4">
        <f t="shared" si="8"/>
        <v>0.9992405888783128</v>
      </c>
      <c r="N34" s="4">
        <f t="shared" si="9"/>
        <v>0.41688282204356231</v>
      </c>
      <c r="O34" s="4">
        <f t="shared" si="10"/>
        <v>0.55773094822713976</v>
      </c>
      <c r="Q34">
        <v>1</v>
      </c>
      <c r="R34">
        <v>9.6480300000000005E-2</v>
      </c>
      <c r="S34" s="40">
        <f t="shared" si="4"/>
        <v>0.99999999999997713</v>
      </c>
      <c r="T34" s="40">
        <f t="shared" si="6"/>
        <v>0.90351970000000004</v>
      </c>
    </row>
    <row r="35" spans="1:20">
      <c r="A35">
        <v>24</v>
      </c>
      <c r="B35">
        <f t="shared" si="0"/>
        <v>48.301563039053946</v>
      </c>
      <c r="C35">
        <f t="shared" si="0"/>
        <v>17.212578910016166</v>
      </c>
      <c r="D35">
        <f t="shared" si="1"/>
        <v>129.50929933855022</v>
      </c>
      <c r="E35">
        <f t="shared" si="2"/>
        <v>94.187610854854853</v>
      </c>
      <c r="F35">
        <v>47.26</v>
      </c>
      <c r="G35">
        <v>18.239999999999998</v>
      </c>
      <c r="H35">
        <f t="shared" si="7"/>
        <v>0.99908793089153103</v>
      </c>
      <c r="I35">
        <v>1</v>
      </c>
      <c r="J35" s="40">
        <f t="shared" si="5"/>
        <v>0.99999999999999689</v>
      </c>
      <c r="K35">
        <v>0.42824499999999999</v>
      </c>
      <c r="L35">
        <v>0.56420599999999999</v>
      </c>
      <c r="M35" s="4">
        <f t="shared" si="8"/>
        <v>0.99918768554261295</v>
      </c>
      <c r="N35" s="4">
        <f t="shared" si="9"/>
        <v>0.41688282204356231</v>
      </c>
      <c r="O35" s="4">
        <f t="shared" si="10"/>
        <v>0.55773094822713976</v>
      </c>
      <c r="Q35">
        <v>1</v>
      </c>
      <c r="R35">
        <v>9.6480300000000005E-2</v>
      </c>
      <c r="S35" s="40">
        <f t="shared" si="4"/>
        <v>0.99999999999999689</v>
      </c>
      <c r="T35" s="40">
        <f t="shared" si="6"/>
        <v>0.90351970000000004</v>
      </c>
    </row>
    <row r="36" spans="1:20">
      <c r="A36">
        <v>25</v>
      </c>
      <c r="B36">
        <f t="shared" si="0"/>
        <v>50.300239753226307</v>
      </c>
      <c r="C36">
        <f t="shared" si="0"/>
        <v>17.700795488007191</v>
      </c>
      <c r="D36">
        <f t="shared" si="1"/>
        <v>131.14018449580794</v>
      </c>
      <c r="E36">
        <f t="shared" si="2"/>
        <v>95.004200058795334</v>
      </c>
      <c r="F36">
        <v>49.13</v>
      </c>
      <c r="G36">
        <v>18.62</v>
      </c>
      <c r="H36">
        <f t="shared" si="7"/>
        <v>0.99948086074716835</v>
      </c>
      <c r="I36">
        <v>1</v>
      </c>
      <c r="J36" s="40">
        <f t="shared" si="5"/>
        <v>0.99999999999999956</v>
      </c>
      <c r="K36">
        <v>0.42824499999999999</v>
      </c>
      <c r="L36">
        <v>0.56420599999999999</v>
      </c>
      <c r="M36" s="4">
        <f t="shared" si="8"/>
        <v>0.99913882560041234</v>
      </c>
      <c r="N36" s="4">
        <f t="shared" si="9"/>
        <v>0.41688282204356231</v>
      </c>
      <c r="O36" s="4">
        <f t="shared" si="10"/>
        <v>0.55773094822713976</v>
      </c>
      <c r="Q36">
        <v>1</v>
      </c>
      <c r="R36">
        <v>9.6480300000000005E-2</v>
      </c>
      <c r="S36" s="40">
        <f t="shared" si="4"/>
        <v>0.99999999999999956</v>
      </c>
      <c r="T36" s="40">
        <f t="shared" si="6"/>
        <v>0.90351970000000004</v>
      </c>
    </row>
    <row r="37" spans="1:20">
      <c r="A37">
        <v>26</v>
      </c>
      <c r="B37">
        <f t="shared" si="0"/>
        <v>52.196276894532623</v>
      </c>
      <c r="C37">
        <f t="shared" si="0"/>
        <v>18.151873327636146</v>
      </c>
      <c r="D37">
        <f t="shared" si="1"/>
        <v>132.64641095423903</v>
      </c>
      <c r="E37">
        <f t="shared" si="2"/>
        <v>95.744944369351913</v>
      </c>
      <c r="F37">
        <v>51</v>
      </c>
      <c r="G37">
        <v>19</v>
      </c>
      <c r="H37">
        <f t="shared" si="7"/>
        <v>0.99970456196151691</v>
      </c>
      <c r="I37">
        <v>1</v>
      </c>
      <c r="J37" s="40">
        <f t="shared" si="5"/>
        <v>1</v>
      </c>
      <c r="K37">
        <v>0.42824499999999999</v>
      </c>
      <c r="L37">
        <v>0.56420599999999999</v>
      </c>
      <c r="M37" s="4">
        <f t="shared" si="8"/>
        <v>0.999093700977435</v>
      </c>
      <c r="N37" s="4">
        <f t="shared" si="9"/>
        <v>0.41688282204356231</v>
      </c>
      <c r="O37" s="4">
        <f t="shared" si="10"/>
        <v>0.55773094822713976</v>
      </c>
      <c r="Q37">
        <v>1</v>
      </c>
      <c r="R37">
        <v>9.6480200000000002E-2</v>
      </c>
      <c r="S37" s="40">
        <f t="shared" si="4"/>
        <v>1</v>
      </c>
      <c r="T37" s="40">
        <f t="shared" si="6"/>
        <v>0.90351979999999998</v>
      </c>
    </row>
    <row r="38" spans="1:20">
      <c r="A38">
        <v>27</v>
      </c>
      <c r="B38">
        <f t="shared" si="0"/>
        <v>53.990760279982894</v>
      </c>
      <c r="C38">
        <f t="shared" si="0"/>
        <v>18.567873742055205</v>
      </c>
      <c r="D38">
        <f t="shared" si="1"/>
        <v>134.03750715373636</v>
      </c>
      <c r="E38">
        <f t="shared" si="2"/>
        <v>96.416888268406836</v>
      </c>
      <c r="F38">
        <v>52.87</v>
      </c>
      <c r="G38">
        <v>19.37</v>
      </c>
      <c r="H38">
        <f t="shared" si="7"/>
        <v>0.99983188476526252</v>
      </c>
      <c r="I38">
        <v>1</v>
      </c>
      <c r="J38" s="40">
        <f t="shared" si="5"/>
        <v>1</v>
      </c>
      <c r="K38">
        <v>0.42824499999999999</v>
      </c>
      <c r="L38">
        <v>0.56420599999999999</v>
      </c>
      <c r="M38" s="4">
        <f t="shared" si="8"/>
        <v>0.99905202652348235</v>
      </c>
      <c r="N38" s="4">
        <f t="shared" si="9"/>
        <v>0.41688282204356231</v>
      </c>
      <c r="O38" s="4">
        <f t="shared" si="10"/>
        <v>0.55773094822713976</v>
      </c>
      <c r="Q38">
        <v>1</v>
      </c>
      <c r="R38">
        <v>9.6480200000000002E-2</v>
      </c>
      <c r="S38" s="40">
        <f t="shared" si="4"/>
        <v>1</v>
      </c>
      <c r="T38" s="40">
        <f t="shared" si="6"/>
        <v>0.90351979999999998</v>
      </c>
    </row>
    <row r="39" spans="1:20">
      <c r="A39">
        <v>28</v>
      </c>
      <c r="B39">
        <f t="shared" si="0"/>
        <v>55.685558123235282</v>
      </c>
      <c r="C39">
        <f t="shared" si="0"/>
        <v>18.950895934958492</v>
      </c>
      <c r="D39">
        <f t="shared" si="1"/>
        <v>135.3222732162524</v>
      </c>
      <c r="E39">
        <f t="shared" si="2"/>
        <v>97.026421945604966</v>
      </c>
      <c r="F39">
        <v>54.74</v>
      </c>
      <c r="G39">
        <v>19.75</v>
      </c>
      <c r="H39">
        <f t="shared" si="7"/>
        <v>0.99990434142770734</v>
      </c>
      <c r="I39">
        <v>1</v>
      </c>
      <c r="J39" s="40">
        <f t="shared" si="5"/>
        <v>1</v>
      </c>
      <c r="K39">
        <v>0.42824499999999999</v>
      </c>
      <c r="L39">
        <v>0.56420599999999999</v>
      </c>
      <c r="M39" s="4">
        <f t="shared" si="8"/>
        <v>0.9990135386047555</v>
      </c>
      <c r="N39" s="4">
        <f t="shared" si="9"/>
        <v>0.41688282204356231</v>
      </c>
      <c r="O39" s="4">
        <f t="shared" si="10"/>
        <v>0.55773094822713976</v>
      </c>
      <c r="Q39">
        <v>1</v>
      </c>
      <c r="R39">
        <v>9.6480200000000002E-2</v>
      </c>
      <c r="S39" s="40">
        <f t="shared" si="4"/>
        <v>1</v>
      </c>
      <c r="T39" s="40">
        <f t="shared" si="6"/>
        <v>0.90351979999999998</v>
      </c>
    </row>
    <row r="40" spans="1:20">
      <c r="A40">
        <v>29</v>
      </c>
      <c r="B40">
        <f t="shared" si="0"/>
        <v>57.28316090352758</v>
      </c>
      <c r="C40">
        <f t="shared" si="0"/>
        <v>19.303037021960385</v>
      </c>
      <c r="D40">
        <f t="shared" si="1"/>
        <v>136.50883661567033</v>
      </c>
      <c r="E40">
        <f t="shared" si="2"/>
        <v>97.579342069087332</v>
      </c>
      <c r="F40">
        <v>56.61</v>
      </c>
      <c r="G40">
        <v>20.13</v>
      </c>
      <c r="H40">
        <f t="shared" si="7"/>
        <v>0.99994557140124207</v>
      </c>
      <c r="I40">
        <v>1</v>
      </c>
      <c r="J40" s="40">
        <f t="shared" si="5"/>
        <v>1</v>
      </c>
      <c r="K40">
        <v>0.42824499999999999</v>
      </c>
      <c r="L40">
        <v>0.56420599999999999</v>
      </c>
      <c r="M40" s="4">
        <f t="shared" si="8"/>
        <v>0.99897799361559858</v>
      </c>
      <c r="N40" s="4">
        <f t="shared" si="9"/>
        <v>0.41688282204356231</v>
      </c>
      <c r="O40" s="4">
        <f t="shared" si="10"/>
        <v>0.55773094822713976</v>
      </c>
      <c r="Q40">
        <v>1</v>
      </c>
      <c r="R40">
        <v>9.6480200000000002E-2</v>
      </c>
      <c r="S40" s="40">
        <f t="shared" si="4"/>
        <v>1</v>
      </c>
      <c r="T40" s="40">
        <f t="shared" si="6"/>
        <v>0.90351979999999998</v>
      </c>
    </row>
    <row r="41" spans="1:20">
      <c r="A41">
        <v>30</v>
      </c>
      <c r="B41">
        <f t="shared" si="0"/>
        <v>58.786542613020231</v>
      </c>
      <c r="C41">
        <f t="shared" si="0"/>
        <v>19.626361176490093</v>
      </c>
      <c r="D41">
        <f t="shared" si="1"/>
        <v>137.60470359248089</v>
      </c>
      <c r="E41">
        <f t="shared" si="2"/>
        <v>98.080906911832486</v>
      </c>
      <c r="F41">
        <v>58.48</v>
      </c>
      <c r="G41">
        <v>20.51</v>
      </c>
      <c r="H41">
        <f t="shared" si="7"/>
        <v>0.99996903132000892</v>
      </c>
      <c r="I41">
        <v>1</v>
      </c>
      <c r="J41" s="40">
        <f t="shared" si="5"/>
        <v>1</v>
      </c>
      <c r="K41">
        <v>0.42824499999999999</v>
      </c>
      <c r="L41">
        <v>0.56420599999999999</v>
      </c>
      <c r="M41" s="4">
        <f t="shared" si="8"/>
        <v>0.99894516652029119</v>
      </c>
      <c r="N41" s="4">
        <f t="shared" si="9"/>
        <v>0.41688282204356231</v>
      </c>
      <c r="O41" s="4">
        <f t="shared" si="10"/>
        <v>0.55773094822713976</v>
      </c>
      <c r="Q41">
        <v>1</v>
      </c>
      <c r="R41">
        <v>9.6480200000000002E-2</v>
      </c>
      <c r="S41" s="40">
        <f t="shared" si="4"/>
        <v>1</v>
      </c>
      <c r="T41" s="40">
        <f t="shared" si="6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Status Quo</vt:lpstr>
      <vt:lpstr>FixedPSCLimit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2015-09-03T20:00:58Z</dcterms:modified>
</cp:coreProperties>
</file>