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2480" windowWidth="51260" windowHeight="28260" tabRatio="623" firstSheet="3" activeTab="9"/>
  </bookViews>
  <sheets>
    <sheet name="SUMMARY" sheetId="6" r:id="rId1"/>
    <sheet name="Status Quo" sheetId="3" r:id="rId2"/>
    <sheet name="Excluders (1)" sheetId="7" r:id="rId3"/>
    <sheet name="Excluders (2)" sheetId="10" r:id="rId4"/>
    <sheet name="No Size Limit (1)" sheetId="8" r:id="rId5"/>
    <sheet name="No Size Limit (2)" sheetId="11" r:id="rId6"/>
    <sheet name="Reduce DMR (1)" sheetId="9" r:id="rId7"/>
    <sheet name="Reduce DMR (2)" sheetId="12" r:id="rId8"/>
    <sheet name="Proof of Concept" sheetId="1" r:id="rId9"/>
    <sheet name="Selectivities" sheetId="4" r:id="rId10"/>
    <sheet name="SAA" sheetId="5" r:id="rId11"/>
  </sheets>
  <definedNames>
    <definedName name="age" localSheetId="2">'Excluders (1)'!$K$3:$AI$3</definedName>
    <definedName name="age" localSheetId="3">'Excluders (2)'!$K$3:$AI$3</definedName>
    <definedName name="age" localSheetId="4">'No Size Limit (1)'!$K$3:$AI$3</definedName>
    <definedName name="age" localSheetId="5">'No Size Limit (2)'!$K$3:$AI$3</definedName>
    <definedName name="age" localSheetId="6">'Reduce DMR (1)'!$K$3:$AI$3</definedName>
    <definedName name="age" localSheetId="7">'Reduce DMR (2)'!$K$3:$AI$3</definedName>
    <definedName name="Age" localSheetId="10">SAA!$D$1:$AG$1</definedName>
    <definedName name="Age" localSheetId="9">Selectivities!$E$1:$AH$1</definedName>
    <definedName name="age" localSheetId="1">'Status Quo'!$K$3:$AI$3</definedName>
    <definedName name="age">'Proof of Concept'!$K$3:$AI$3</definedName>
    <definedName name="ah" localSheetId="2">'Excluders (1)'!$G$18:$G$20</definedName>
    <definedName name="ah" localSheetId="3">'Excluders (2)'!$G$18:$G$20</definedName>
    <definedName name="ah" localSheetId="4">'No Size Limit (1)'!$G$18:$G$20</definedName>
    <definedName name="ah" localSheetId="5">'No Size Limit (2)'!$G$18:$G$20</definedName>
    <definedName name="ah" localSheetId="6">'Reduce DMR (1)'!$G$18:$G$20</definedName>
    <definedName name="ah" localSheetId="7">'Reduce DMR (2)'!$G$18:$G$20</definedName>
    <definedName name="ah" localSheetId="9">Selectivities!$A$9:$A$13</definedName>
    <definedName name="ah" localSheetId="1">'Status Quo'!$G$18:$G$20</definedName>
    <definedName name="ah">'Proof of Concept'!$G$18:$G$20</definedName>
    <definedName name="avg_wt1" localSheetId="2">'Excluders (1)'!$B$60</definedName>
    <definedName name="avg_wt1" localSheetId="3">'Excluders (2)'!$B$60</definedName>
    <definedName name="avg_wt1" localSheetId="4">'No Size Limit (1)'!$B$60</definedName>
    <definedName name="avg_wt1" localSheetId="5">'No Size Limit (2)'!$B$60</definedName>
    <definedName name="avg_wt1" localSheetId="6">'Reduce DMR (1)'!$B$60</definedName>
    <definedName name="avg_wt1" localSheetId="7">'Reduce DMR (2)'!$B$60</definedName>
    <definedName name="avg_wt1">'Status Quo'!$B$60</definedName>
    <definedName name="avg_wt2" localSheetId="2">'Excluders (1)'!$B$61</definedName>
    <definedName name="avg_wt2" localSheetId="3">'Excluders (2)'!$B$61</definedName>
    <definedName name="avg_wt2" localSheetId="4">'No Size Limit (1)'!$B$61</definedName>
    <definedName name="avg_wt2" localSheetId="5">'No Size Limit (2)'!$B$61</definedName>
    <definedName name="avg_wt2" localSheetId="6">'Reduce DMR (1)'!$B$61</definedName>
    <definedName name="avg_wt2" localSheetId="7">'Reduce DMR (2)'!$B$61</definedName>
    <definedName name="avg_wt2">'Status Quo'!$B$61</definedName>
    <definedName name="avg_wt3" localSheetId="2">'Excluders (1)'!$B$62</definedName>
    <definedName name="avg_wt3" localSheetId="3">'Excluders (2)'!$B$62</definedName>
    <definedName name="avg_wt3" localSheetId="4">'No Size Limit (1)'!$B$62</definedName>
    <definedName name="avg_wt3" localSheetId="5">'No Size Limit (2)'!$B$62</definedName>
    <definedName name="avg_wt3" localSheetId="6">'Reduce DMR (1)'!$B$62</definedName>
    <definedName name="avg_wt3" localSheetId="7">'Reduce DMR (2)'!$B$62</definedName>
    <definedName name="avg_wt3">'Status Quo'!$B$62</definedName>
    <definedName name="Bo" localSheetId="2">'Excluders (1)'!$B$18</definedName>
    <definedName name="Bo" localSheetId="3">'Excluders (2)'!$B$18</definedName>
    <definedName name="Bo" localSheetId="4">'No Size Limit (1)'!$B$18</definedName>
    <definedName name="Bo" localSheetId="5">'No Size Limit (2)'!$B$18</definedName>
    <definedName name="Bo" localSheetId="6">'Reduce DMR (1)'!$B$18</definedName>
    <definedName name="Bo" localSheetId="7">'Reduce DMR (2)'!$B$18</definedName>
    <definedName name="Bo" localSheetId="1">'Status Quo'!$B$18</definedName>
    <definedName name="Bo">'Proof of Concept'!$B$18</definedName>
    <definedName name="daq21_" localSheetId="2">'Excluders (1)'!$K$38:$AI$38</definedName>
    <definedName name="daq21_" localSheetId="3">'Excluders (2)'!$K$38:$AI$38</definedName>
    <definedName name="daq21_" localSheetId="4">'No Size Limit (1)'!$K$38:$AI$38</definedName>
    <definedName name="daq21_" localSheetId="5">'No Size Limit (2)'!$K$38:$AI$38</definedName>
    <definedName name="daq21_" localSheetId="6">'Reduce DMR (1)'!$K$38:$AI$38</definedName>
    <definedName name="daq21_" localSheetId="7">'Reduce DMR (2)'!$K$38:$AI$38</definedName>
    <definedName name="daq21_" localSheetId="1">'Status Quo'!$K$38:$AI$38</definedName>
    <definedName name="daq21_">'Proof of Concept'!$K$38:$AI$38</definedName>
    <definedName name="dlz1_" localSheetId="2">'Excluders (1)'!$K$31:$AI$31</definedName>
    <definedName name="dlz1_" localSheetId="3">'Excluders (2)'!$K$31:$AI$31</definedName>
    <definedName name="dlz1_" localSheetId="4">'No Size Limit (1)'!$K$31:$AI$31</definedName>
    <definedName name="dlz1_" localSheetId="5">'No Size Limit (2)'!$K$31:$AI$31</definedName>
    <definedName name="dlz1_" localSheetId="6">'Reduce DMR (1)'!$K$31:$AI$31</definedName>
    <definedName name="dlz1_" localSheetId="7">'Reduce DMR (2)'!$K$31:$AI$31</definedName>
    <definedName name="dlz1_" localSheetId="1">'Status Quo'!$K$31:$AI$31</definedName>
    <definedName name="dlz1_">'Proof of Concept'!$K$31:$AI$31</definedName>
    <definedName name="dlz2_" localSheetId="2">'Excluders (1)'!$K$32:$AI$32</definedName>
    <definedName name="dlz2_" localSheetId="3">'Excluders (2)'!$K$32:$AI$32</definedName>
    <definedName name="dlz2_" localSheetId="4">'No Size Limit (1)'!$K$32:$AI$32</definedName>
    <definedName name="dlz2_" localSheetId="5">'No Size Limit (2)'!$K$32:$AI$32</definedName>
    <definedName name="dlz2_" localSheetId="6">'Reduce DMR (1)'!$K$32:$AI$32</definedName>
    <definedName name="dlz2_" localSheetId="7">'Reduce DMR (2)'!$K$32:$AI$32</definedName>
    <definedName name="dlz2_" localSheetId="1">'Status Quo'!$K$32:$AI$32</definedName>
    <definedName name="dlz2_">'Proof of Concept'!$K$32:$AI$32</definedName>
    <definedName name="dlz3_" localSheetId="2">'Excluders (1)'!$K$33:$AI$33</definedName>
    <definedName name="dlz3_" localSheetId="3">'Excluders (2)'!$K$33:$AI$33</definedName>
    <definedName name="dlz3_" localSheetId="4">'No Size Limit (1)'!$K$33:$AI$33</definedName>
    <definedName name="dlz3_" localSheetId="5">'No Size Limit (2)'!$K$33:$AI$33</definedName>
    <definedName name="dlz3_" localSheetId="6">'Reduce DMR (1)'!$K$33:$AI$33</definedName>
    <definedName name="dlz3_" localSheetId="7">'Reduce DMR (2)'!$K$33:$AI$33</definedName>
    <definedName name="dlz3_" localSheetId="1">'Status Quo'!$K$33:$AI$33</definedName>
    <definedName name="dlz3_">'Proof of Concept'!$K$33:$AI$33</definedName>
    <definedName name="dmr" localSheetId="2">'Excluders (1)'!$F$18:$F$20</definedName>
    <definedName name="dmr" localSheetId="3">'Excluders (2)'!$F$18:$F$20</definedName>
    <definedName name="dmr" localSheetId="4">'No Size Limit (1)'!$F$18:$F$20</definedName>
    <definedName name="dmr" localSheetId="5">'No Size Limit (2)'!$F$18:$F$20</definedName>
    <definedName name="dmr" localSheetId="6">'Reduce DMR (1)'!$F$18:$F$20</definedName>
    <definedName name="dmr" localSheetId="7">'Reduce DMR (2)'!$F$18:$F$20</definedName>
    <definedName name="dmr" localSheetId="1">'Status Quo'!$F$18:$F$20</definedName>
    <definedName name="dmr">'Proof of Concept'!$F$18:$F$20</definedName>
    <definedName name="dphif" localSheetId="2">'Excluders (1)'!$G$31:$G$33</definedName>
    <definedName name="dphif" localSheetId="3">'Excluders (2)'!$G$31:$G$33</definedName>
    <definedName name="dphif" localSheetId="4">'No Size Limit (1)'!$G$31:$G$33</definedName>
    <definedName name="dphif" localSheetId="5">'No Size Limit (2)'!$G$31:$G$33</definedName>
    <definedName name="dphif" localSheetId="8">'Proof of Concept'!$G$31:$G$33</definedName>
    <definedName name="dphif" localSheetId="6">'Reduce DMR (1)'!$G$31:$G$33</definedName>
    <definedName name="dphif" localSheetId="7">'Reduce DMR (2)'!$G$31:$G$33</definedName>
    <definedName name="dphif" localSheetId="1">'Status Quo'!$G$31:$G$33</definedName>
    <definedName name="dqa1_" localSheetId="2">'Excluders (1)'!$K$35:$AI$35</definedName>
    <definedName name="dqa1_" localSheetId="3">'Excluders (2)'!$K$35:$AI$35</definedName>
    <definedName name="dqa1_" localSheetId="4">'No Size Limit (1)'!$K$35:$AI$35</definedName>
    <definedName name="dqa1_" localSheetId="5">'No Size Limit (2)'!$K$35:$AI$35</definedName>
    <definedName name="dqa1_" localSheetId="6">'Reduce DMR (1)'!$K$35:$AI$35</definedName>
    <definedName name="dqa1_" localSheetId="7">'Reduce DMR (2)'!$K$35:$AI$35</definedName>
    <definedName name="dqa1_" localSheetId="1">'Status Quo'!$K$35:$AI$35</definedName>
    <definedName name="dqa1_">'Proof of Concept'!$K$35:$AI$35</definedName>
    <definedName name="dqa11_" localSheetId="2">'Excluders (1)'!$K$35:$AI$35</definedName>
    <definedName name="dqa11_" localSheetId="3">'Excluders (2)'!$K$35:$AI$35</definedName>
    <definedName name="dqa11_" localSheetId="4">'No Size Limit (1)'!$K$35:$AI$35</definedName>
    <definedName name="dqa11_" localSheetId="5">'No Size Limit (2)'!$K$35:$AI$35</definedName>
    <definedName name="dqa11_" localSheetId="6">'Reduce DMR (1)'!$K$35:$AI$35</definedName>
    <definedName name="dqa11_" localSheetId="7">'Reduce DMR (2)'!$K$35:$AI$35</definedName>
    <definedName name="dqa11_" localSheetId="1">'Status Quo'!$K$35:$AI$35</definedName>
    <definedName name="dqa11_">'Proof of Concept'!$K$35:$AI$35</definedName>
    <definedName name="dqa12_" localSheetId="2">'Excluders (1)'!$K$40:$AI$40</definedName>
    <definedName name="dqa12_" localSheetId="3">'Excluders (2)'!$K$40:$AI$40</definedName>
    <definedName name="dqa12_" localSheetId="4">'No Size Limit (1)'!$K$40:$AI$40</definedName>
    <definedName name="dqa12_" localSheetId="5">'No Size Limit (2)'!$K$40:$AI$40</definedName>
    <definedName name="dqa12_" localSheetId="6">'Reduce DMR (1)'!$K$40:$AI$40</definedName>
    <definedName name="dqa12_" localSheetId="7">'Reduce DMR (2)'!$K$40:$AI$40</definedName>
    <definedName name="dqa12_" localSheetId="1">'Status Quo'!$K$40:$AI$40</definedName>
    <definedName name="dqa12_">'Proof of Concept'!$K$40:$AI$40</definedName>
    <definedName name="dqa13_" localSheetId="2">'Excluders (1)'!$K$42:$AI$42</definedName>
    <definedName name="dqa13_" localSheetId="3">'Excluders (2)'!$K$42:$AI$42</definedName>
    <definedName name="dqa13_" localSheetId="4">'No Size Limit (1)'!$K$42:$AI$42</definedName>
    <definedName name="dqa13_" localSheetId="5">'No Size Limit (2)'!$K$42:$AI$42</definedName>
    <definedName name="dqa13_" localSheetId="6">'Reduce DMR (1)'!$K$42:$AI$42</definedName>
    <definedName name="dqa13_" localSheetId="7">'Reduce DMR (2)'!$K$42:$AI$42</definedName>
    <definedName name="dqa13_" localSheetId="1">'Status Quo'!$K$42:$AI$42</definedName>
    <definedName name="dqa13_">'Proof of Concept'!$K$42:$AI$42</definedName>
    <definedName name="dqa2_" localSheetId="2">'Excluders (1)'!$K$36:$AI$36</definedName>
    <definedName name="dqa2_" localSheetId="3">'Excluders (2)'!$K$36:$AI$36</definedName>
    <definedName name="dqa2_" localSheetId="4">'No Size Limit (1)'!$K$36:$AI$36</definedName>
    <definedName name="dqa2_" localSheetId="5">'No Size Limit (2)'!$K$36:$AI$36</definedName>
    <definedName name="dqa2_" localSheetId="6">'Reduce DMR (1)'!$K$36:$AI$36</definedName>
    <definedName name="dqa2_" localSheetId="7">'Reduce DMR (2)'!$K$36:$AI$36</definedName>
    <definedName name="dqa2_" localSheetId="1">'Status Quo'!$K$36:$AI$36</definedName>
    <definedName name="dqa2_">'Proof of Concept'!$K$36:$AI$36</definedName>
    <definedName name="dqa21_" localSheetId="2">'Excluders (1)'!$K$38:$AI$38</definedName>
    <definedName name="dqa21_" localSheetId="3">'Excluders (2)'!$K$38:$AI$38</definedName>
    <definedName name="dqa21_" localSheetId="4">'No Size Limit (1)'!$K$38:$AI$38</definedName>
    <definedName name="dqa21_" localSheetId="5">'No Size Limit (2)'!$K$38:$AI$38</definedName>
    <definedName name="dqa21_" localSheetId="6">'Reduce DMR (1)'!$K$38:$AI$38</definedName>
    <definedName name="dqa21_" localSheetId="7">'Reduce DMR (2)'!$K$38:$AI$38</definedName>
    <definedName name="dqa21_" localSheetId="1">'Status Quo'!$K$38:$AI$38</definedName>
    <definedName name="dqa21_">'Proof of Concept'!$K$38:$AI$38</definedName>
    <definedName name="dqa22_" localSheetId="2">'Excluders (1)'!$K$36:$AI$36</definedName>
    <definedName name="dqa22_" localSheetId="3">'Excluders (2)'!$K$36:$AI$36</definedName>
    <definedName name="dqa22_" localSheetId="4">'No Size Limit (1)'!$K$36:$AI$36</definedName>
    <definedName name="dqa22_" localSheetId="5">'No Size Limit (2)'!$K$36:$AI$36</definedName>
    <definedName name="dqa22_" localSheetId="6">'Reduce DMR (1)'!$K$36:$AI$36</definedName>
    <definedName name="dqa22_" localSheetId="7">'Reduce DMR (2)'!$K$36:$AI$36</definedName>
    <definedName name="dqa22_" localSheetId="1">'Status Quo'!$K$36:$AI$36</definedName>
    <definedName name="dqa22_">'Proof of Concept'!$K$36:$AI$36</definedName>
    <definedName name="dqa23_" localSheetId="2">'Excluders (1)'!$K$43:$AI$43</definedName>
    <definedName name="dqa23_" localSheetId="3">'Excluders (2)'!$K$43:$AI$43</definedName>
    <definedName name="dqa23_" localSheetId="4">'No Size Limit (1)'!$K$43:$AI$43</definedName>
    <definedName name="dqa23_" localSheetId="5">'No Size Limit (2)'!$K$43:$AI$43</definedName>
    <definedName name="dqa23_" localSheetId="6">'Reduce DMR (1)'!$K$43:$AI$43</definedName>
    <definedName name="dqa23_" localSheetId="7">'Reduce DMR (2)'!$K$43:$AI$43</definedName>
    <definedName name="dqa23_" localSheetId="1">'Status Quo'!$K$43:$AI$43</definedName>
    <definedName name="dqa23_">'Proof of Concept'!$K$43:$AI$43</definedName>
    <definedName name="dqa3_" localSheetId="2">'Excluders (1)'!$K$37:$AI$37</definedName>
    <definedName name="dqa3_" localSheetId="3">'Excluders (2)'!$K$37:$AI$37</definedName>
    <definedName name="dqa3_" localSheetId="4">'No Size Limit (1)'!$K$37:$AI$37</definedName>
    <definedName name="dqa3_" localSheetId="5">'No Size Limit (2)'!$K$37:$AI$37</definedName>
    <definedName name="dqa3_" localSheetId="6">'Reduce DMR (1)'!$K$37:$AI$37</definedName>
    <definedName name="dqa3_" localSheetId="7">'Reduce DMR (2)'!$K$37:$AI$37</definedName>
    <definedName name="dqa3_" localSheetId="1">'Status Quo'!$K$37:$AI$37</definedName>
    <definedName name="dqa3_">'Proof of Concept'!$K$37:$AI$37</definedName>
    <definedName name="dqa31_" localSheetId="2">'Excluders (1)'!$K$39:$AI$39</definedName>
    <definedName name="dqa31_" localSheetId="3">'Excluders (2)'!$K$39:$AI$39</definedName>
    <definedName name="dqa31_" localSheetId="4">'No Size Limit (1)'!$K$39:$AI$39</definedName>
    <definedName name="dqa31_" localSheetId="5">'No Size Limit (2)'!$K$39:$AI$39</definedName>
    <definedName name="dqa31_" localSheetId="6">'Reduce DMR (1)'!$K$39:$AI$39</definedName>
    <definedName name="dqa31_" localSheetId="7">'Reduce DMR (2)'!$K$39:$AI$39</definedName>
    <definedName name="dqa31_" localSheetId="1">'Status Quo'!$K$39:$AI$39</definedName>
    <definedName name="dqa31_">'Proof of Concept'!$K$39:$AI$39</definedName>
    <definedName name="dqa32_" localSheetId="2">'Excluders (1)'!$K$41:$AI$41</definedName>
    <definedName name="dqa32_" localSheetId="3">'Excluders (2)'!$K$41:$AI$41</definedName>
    <definedName name="dqa32_" localSheetId="4">'No Size Limit (1)'!$K$41:$AI$41</definedName>
    <definedName name="dqa32_" localSheetId="5">'No Size Limit (2)'!$K$41:$AI$41</definedName>
    <definedName name="dqa32_" localSheetId="6">'Reduce DMR (1)'!$K$41:$AI$41</definedName>
    <definedName name="dqa32_" localSheetId="7">'Reduce DMR (2)'!$K$41:$AI$41</definedName>
    <definedName name="dqa32_" localSheetId="1">'Status Quo'!$K$41:$AI$41</definedName>
    <definedName name="dqa32_">'Proof of Concept'!$K$41:$AI$41</definedName>
    <definedName name="dqa33_" localSheetId="2">'Excluders (1)'!$K$37:$AI$37</definedName>
    <definedName name="dqa33_" localSheetId="3">'Excluders (2)'!$K$37:$AI$37</definedName>
    <definedName name="dqa33_" localSheetId="4">'No Size Limit (1)'!$K$37:$AI$37</definedName>
    <definedName name="dqa33_" localSheetId="5">'No Size Limit (2)'!$K$37:$AI$37</definedName>
    <definedName name="dqa33_" localSheetId="6">'Reduce DMR (1)'!$K$37:$AI$37</definedName>
    <definedName name="dqa33_" localSheetId="7">'Reduce DMR (2)'!$K$37:$AI$37</definedName>
    <definedName name="dqa33_" localSheetId="1">'Status Quo'!$K$37:$AI$37</definedName>
    <definedName name="dqa33_">'Proof of Concept'!$K$37:$AI$37</definedName>
    <definedName name="dre" localSheetId="2">'Excluders (1)'!$H$31:$H$33</definedName>
    <definedName name="dre" localSheetId="3">'Excluders (2)'!$H$31:$H$33</definedName>
    <definedName name="dre" localSheetId="4">'No Size Limit (1)'!$H$31:$H$33</definedName>
    <definedName name="dre" localSheetId="5">'No Size Limit (2)'!$H$31:$H$33</definedName>
    <definedName name="dre" localSheetId="6">'Reduce DMR (1)'!$H$31:$H$33</definedName>
    <definedName name="dre" localSheetId="7">'Reduce DMR (2)'!$H$31:$H$33</definedName>
    <definedName name="dre" localSheetId="1">'Status Quo'!$H$31:$H$33</definedName>
    <definedName name="dre">'Proof of Concept'!$H$31:$H$33</definedName>
    <definedName name="f1_" localSheetId="2">'Excluders (1)'!$B$27</definedName>
    <definedName name="f1_" localSheetId="3">'Excluders (2)'!$B$27</definedName>
    <definedName name="f1_" localSheetId="4">'No Size Limit (1)'!$B$27</definedName>
    <definedName name="f1_" localSheetId="5">'No Size Limit (2)'!$B$27</definedName>
    <definedName name="f1_" localSheetId="6">'Reduce DMR (1)'!$B$27</definedName>
    <definedName name="f1_" localSheetId="7">'Reduce DMR (2)'!$B$27</definedName>
    <definedName name="f1_" localSheetId="1">'Status Quo'!$B$27</definedName>
    <definedName name="f1_">'Proof of Concept'!$B$27</definedName>
    <definedName name="f2_" localSheetId="2">'Excluders (1)'!$B$28</definedName>
    <definedName name="f2_" localSheetId="3">'Excluders (2)'!$B$28</definedName>
    <definedName name="f2_" localSheetId="4">'No Size Limit (1)'!$B$28</definedName>
    <definedName name="f2_" localSheetId="5">'No Size Limit (2)'!$B$28</definedName>
    <definedName name="f2_" localSheetId="6">'Reduce DMR (1)'!$B$28</definedName>
    <definedName name="f2_" localSheetId="7">'Reduce DMR (2)'!$B$28</definedName>
    <definedName name="f2_" localSheetId="1">'Status Quo'!$B$28</definedName>
    <definedName name="f2_">'Proof of Concept'!$B$28</definedName>
    <definedName name="f3_" localSheetId="2">'Excluders (1)'!$B$29</definedName>
    <definedName name="f3_" localSheetId="3">'Excluders (2)'!$B$29</definedName>
    <definedName name="f3_" localSheetId="4">'No Size Limit (1)'!$B$29</definedName>
    <definedName name="f3_" localSheetId="5">'No Size Limit (2)'!$B$29</definedName>
    <definedName name="f3_" localSheetId="6">'Reduce DMR (1)'!$B$29</definedName>
    <definedName name="f3_" localSheetId="7">'Reduce DMR (2)'!$B$29</definedName>
    <definedName name="f3_" localSheetId="1">'Status Quo'!$B$29</definedName>
    <definedName name="f3_">'Proof of Concept'!$B$29</definedName>
    <definedName name="fbar" localSheetId="2">'Excluders (1)'!$B$30</definedName>
    <definedName name="fbar" localSheetId="3">'Excluders (2)'!$B$30</definedName>
    <definedName name="fbar" localSheetId="4">'No Size Limit (1)'!$B$30</definedName>
    <definedName name="fbar" localSheetId="5">'No Size Limit (2)'!$B$30</definedName>
    <definedName name="fbar" localSheetId="6">'Reduce DMR (1)'!$B$30</definedName>
    <definedName name="fbar" localSheetId="7">'Reduce DMR (2)'!$B$30</definedName>
    <definedName name="fbar" localSheetId="1">'Status Quo'!$B$30</definedName>
    <definedName name="fbar">'Proof of Concept'!$B$30</definedName>
    <definedName name="flt1_" localSheetId="2">'Excluders (1)'!$K$18:$AI$18</definedName>
    <definedName name="flt1_" localSheetId="3">'Excluders (2)'!$K$18:$AI$18</definedName>
    <definedName name="flt1_" localSheetId="4">'No Size Limit (1)'!$K$18:$AI$18</definedName>
    <definedName name="flt1_" localSheetId="5">'No Size Limit (2)'!$K$18:$AI$18</definedName>
    <definedName name="flt1_" localSheetId="6">'Reduce DMR (1)'!$K$18:$AI$18</definedName>
    <definedName name="flt1_" localSheetId="7">'Reduce DMR (2)'!$K$18:$AI$18</definedName>
    <definedName name="flt1_" localSheetId="1">'Status Quo'!$K$18:$AI$18</definedName>
    <definedName name="flt1_">'Proof of Concept'!$K$18:$AI$18</definedName>
    <definedName name="flt2_" localSheetId="2">'Excluders (1)'!$K$19:$AI$19</definedName>
    <definedName name="flt2_" localSheetId="3">'Excluders (2)'!$K$19:$AI$19</definedName>
    <definedName name="flt2_" localSheetId="4">'No Size Limit (1)'!$K$19:$AI$19</definedName>
    <definedName name="flt2_" localSheetId="5">'No Size Limit (2)'!$K$19:$AI$19</definedName>
    <definedName name="flt2_" localSheetId="6">'Reduce DMR (1)'!$K$19:$AI$19</definedName>
    <definedName name="flt2_" localSheetId="7">'Reduce DMR (2)'!$K$19:$AI$19</definedName>
    <definedName name="flt2_" localSheetId="1">'Status Quo'!$K$19:$AI$19</definedName>
    <definedName name="flt2_">'Proof of Concept'!$K$19:$AI$19</definedName>
    <definedName name="flt3_" localSheetId="2">'Excluders (1)'!$K$20:$AI$20</definedName>
    <definedName name="flt3_" localSheetId="3">'Excluders (2)'!$K$20:$AI$20</definedName>
    <definedName name="flt3_" localSheetId="4">'No Size Limit (1)'!$K$20:$AI$20</definedName>
    <definedName name="flt3_" localSheetId="5">'No Size Limit (2)'!$K$20:$AI$20</definedName>
    <definedName name="flt3_" localSheetId="6">'Reduce DMR (1)'!$K$20:$AI$20</definedName>
    <definedName name="flt3_" localSheetId="7">'Reduce DMR (2)'!$K$20:$AI$20</definedName>
    <definedName name="flt3_" localSheetId="1">'Status Quo'!$K$20:$AI$20</definedName>
    <definedName name="flt3_">'Proof of Concept'!$K$20:$AI$20</definedName>
    <definedName name="ftotal" localSheetId="2">'Excluders (1)'!$B$31</definedName>
    <definedName name="ftotal" localSheetId="3">'Excluders (2)'!$B$31</definedName>
    <definedName name="ftotal" localSheetId="4">'No Size Limit (1)'!$B$31</definedName>
    <definedName name="ftotal" localSheetId="5">'No Size Limit (2)'!$B$31</definedName>
    <definedName name="ftotal" localSheetId="6">'Reduce DMR (1)'!$B$31</definedName>
    <definedName name="ftotal" localSheetId="7">'Reduce DMR (2)'!$B$31</definedName>
    <definedName name="ftotal" localSheetId="1">'Status Quo'!$B$31</definedName>
    <definedName name="ftotal">#REF!</definedName>
    <definedName name="g" localSheetId="2">'Excluders (1)'!$I$18:$I$20</definedName>
    <definedName name="g" localSheetId="3">'Excluders (2)'!$I$18:$I$20</definedName>
    <definedName name="g" localSheetId="4">'No Size Limit (1)'!$I$18:$I$20</definedName>
    <definedName name="g" localSheetId="5">'No Size Limit (2)'!$I$18:$I$20</definedName>
    <definedName name="g" localSheetId="6">'Reduce DMR (1)'!$I$18:$I$20</definedName>
    <definedName name="g" localSheetId="7">'Reduce DMR (2)'!$I$18:$I$20</definedName>
    <definedName name="g" localSheetId="9">Selectivities!$C$9:$C$13</definedName>
    <definedName name="g" localSheetId="1">'Status Quo'!$I$18:$I$20</definedName>
    <definedName name="g">'Proof of Concept'!$I$18:$I$20</definedName>
    <definedName name="gamma" localSheetId="2">'Excluders (1)'!$I$18:$I$20</definedName>
    <definedName name="gamma" localSheetId="3">'Excluders (2)'!$I$18:$I$20</definedName>
    <definedName name="gamma" localSheetId="4">'No Size Limit (1)'!$I$18:$I$20</definedName>
    <definedName name="gamma" localSheetId="5">'No Size Limit (2)'!$I$18:$I$20</definedName>
    <definedName name="gamma" localSheetId="6">'Reduce DMR (1)'!$I$18:$I$20</definedName>
    <definedName name="gamma" localSheetId="7">'Reduce DMR (2)'!$I$18:$I$20</definedName>
    <definedName name="gamma" localSheetId="1">'Status Quo'!$I$18:$I$20</definedName>
    <definedName name="gamma">'Proof of Concept'!$I$18:$I$20</definedName>
    <definedName name="gh" localSheetId="2">'Excluders (1)'!$H$18:$H$20</definedName>
    <definedName name="gh" localSheetId="3">'Excluders (2)'!$H$18:$H$20</definedName>
    <definedName name="gh" localSheetId="4">'No Size Limit (1)'!$H$18:$H$20</definedName>
    <definedName name="gh" localSheetId="5">'No Size Limit (2)'!$H$18:$H$20</definedName>
    <definedName name="gh" localSheetId="6">'Reduce DMR (1)'!$H$18:$H$20</definedName>
    <definedName name="gh" localSheetId="7">'Reduce DMR (2)'!$H$18:$H$20</definedName>
    <definedName name="gh" localSheetId="9">Selectivities!$B$9:$B$13</definedName>
    <definedName name="gh" localSheetId="1">'Status Quo'!$H$18:$H$20</definedName>
    <definedName name="gh">'Proof of Concept'!$H$18:$H$20</definedName>
    <definedName name="k">SAA!$B$2</definedName>
    <definedName name="len" localSheetId="2">'Excluders (1)'!$K$4:$AI$4</definedName>
    <definedName name="len" localSheetId="3">'Excluders (2)'!$K$4:$AI$4</definedName>
    <definedName name="len" localSheetId="4">'No Size Limit (1)'!$K$4:$AI$4</definedName>
    <definedName name="len" localSheetId="5">'No Size Limit (2)'!$K$4:$AI$4</definedName>
    <definedName name="len" localSheetId="6">'Reduce DMR (1)'!$K$4:$AI$4</definedName>
    <definedName name="len" localSheetId="7">'Reduce DMR (2)'!$K$4:$AI$4</definedName>
    <definedName name="len" localSheetId="1">'Status Quo'!$K$4:$AI$4</definedName>
    <definedName name="len">'Proof of Concept'!$K$4:$AI$4</definedName>
    <definedName name="linf" localSheetId="2">'Excluders (1)'!$B$22</definedName>
    <definedName name="linf" localSheetId="3">'Excluders (2)'!$B$22</definedName>
    <definedName name="linf" localSheetId="4">'No Size Limit (1)'!$B$22</definedName>
    <definedName name="linf" localSheetId="5">'No Size Limit (2)'!$B$22</definedName>
    <definedName name="linf" localSheetId="6">'Reduce DMR (1)'!$B$22</definedName>
    <definedName name="linf" localSheetId="7">'Reduce DMR (2)'!$B$22</definedName>
    <definedName name="linf" localSheetId="1">'Status Quo'!$B$22</definedName>
    <definedName name="linf">'Proof of Concept'!$B$22</definedName>
    <definedName name="lx" localSheetId="2">'Excluders (1)'!$K$6:$AI$6</definedName>
    <definedName name="lx" localSheetId="3">'Excluders (2)'!$K$6:$AI$6</definedName>
    <definedName name="lx" localSheetId="4">'No Size Limit (1)'!$K$6:$AI$6</definedName>
    <definedName name="lx" localSheetId="5">'No Size Limit (2)'!$K$6:$AI$6</definedName>
    <definedName name="lx" localSheetId="6">'Reduce DMR (1)'!$K$6:$AI$6</definedName>
    <definedName name="lx" localSheetId="7">'Reduce DMR (2)'!$K$6:$AI$6</definedName>
    <definedName name="lx" localSheetId="1">'Status Quo'!$K$6:$AI$6</definedName>
    <definedName name="lx">'Proof of Concept'!$K$6:$AI$6</definedName>
    <definedName name="lz" localSheetId="2">'Excluders (1)'!$K$7:$AI$7</definedName>
    <definedName name="lz" localSheetId="3">'Excluders (2)'!$K$7:$AI$7</definedName>
    <definedName name="lz" localSheetId="4">'No Size Limit (1)'!$K$7:$AI$7</definedName>
    <definedName name="lz" localSheetId="5">'No Size Limit (2)'!$K$7:$AI$7</definedName>
    <definedName name="lz" localSheetId="6">'Reduce DMR (1)'!$K$7:$AI$7</definedName>
    <definedName name="lz" localSheetId="7">'Reduce DMR (2)'!$K$7:$AI$7</definedName>
    <definedName name="lz" localSheetId="1">'Status Quo'!$K$7:$AI$7</definedName>
    <definedName name="lz">'Proof of Concept'!$K$7:$AI$7</definedName>
    <definedName name="M" localSheetId="2">'Excluders (1)'!$B$20</definedName>
    <definedName name="M" localSheetId="3">'Excluders (2)'!$B$20</definedName>
    <definedName name="M" localSheetId="4">'No Size Limit (1)'!$B$20</definedName>
    <definedName name="M" localSheetId="5">'No Size Limit (2)'!$B$20</definedName>
    <definedName name="M" localSheetId="6">'Reduce DMR (1)'!$B$20</definedName>
    <definedName name="M" localSheetId="7">'Reduce DMR (2)'!$B$20</definedName>
    <definedName name="M" localSheetId="1">'Status Quo'!$B$20</definedName>
    <definedName name="M">'Proof of Concept'!$B$20</definedName>
    <definedName name="ma" localSheetId="2">'Excluders (1)'!$K$9:$AI$9</definedName>
    <definedName name="ma" localSheetId="3">'Excluders (2)'!$K$9:$AI$9</definedName>
    <definedName name="ma" localSheetId="4">'No Size Limit (1)'!$K$9:$AI$9</definedName>
    <definedName name="ma" localSheetId="5">'No Size Limit (2)'!$K$9:$AI$9</definedName>
    <definedName name="ma" localSheetId="6">'Reduce DMR (1)'!$K$9:$AI$9</definedName>
    <definedName name="ma" localSheetId="7">'Reduce DMR (2)'!$K$9:$AI$9</definedName>
    <definedName name="ma" localSheetId="1">'Status Quo'!$K$9:$AI$9</definedName>
    <definedName name="ma">'Proof of Concept'!$K$9:$AI$9</definedName>
    <definedName name="mpr1_" localSheetId="2">'Excluders (1)'!$B$56</definedName>
    <definedName name="mpr1_" localSheetId="3">'Excluders (2)'!$B$56</definedName>
    <definedName name="mpr1_" localSheetId="4">'No Size Limit (1)'!$B$56</definedName>
    <definedName name="mpr1_" localSheetId="5">'No Size Limit (2)'!$B$56</definedName>
    <definedName name="mpr1_" localSheetId="6">'Reduce DMR (1)'!$B$56</definedName>
    <definedName name="mpr1_" localSheetId="7">'Reduce DMR (2)'!$B$56</definedName>
    <definedName name="mpr1_" localSheetId="1">'Status Quo'!$B$56</definedName>
    <definedName name="mpr1_">'Proof of Concept'!$B$53</definedName>
    <definedName name="mpr2_" localSheetId="2">'Excluders (1)'!$B$57</definedName>
    <definedName name="mpr2_" localSheetId="3">'Excluders (2)'!$B$57</definedName>
    <definedName name="mpr2_" localSheetId="4">'No Size Limit (1)'!$B$57</definedName>
    <definedName name="mpr2_" localSheetId="5">'No Size Limit (2)'!$B$57</definedName>
    <definedName name="mpr2_" localSheetId="6">'Reduce DMR (1)'!$B$57</definedName>
    <definedName name="mpr2_" localSheetId="7">'Reduce DMR (2)'!$B$57</definedName>
    <definedName name="mpr2_" localSheetId="1">'Status Quo'!$B$57</definedName>
    <definedName name="mpr2_">'Proof of Concept'!$B$54</definedName>
    <definedName name="mpr3_" localSheetId="2">'Excluders (1)'!$B$58</definedName>
    <definedName name="mpr3_" localSheetId="3">'Excluders (2)'!$B$58</definedName>
    <definedName name="mpr3_" localSheetId="4">'No Size Limit (1)'!$B$58</definedName>
    <definedName name="mpr3_" localSheetId="5">'No Size Limit (2)'!$B$58</definedName>
    <definedName name="mpr3_" localSheetId="6">'Reduce DMR (1)'!$B$58</definedName>
    <definedName name="mpr3_" localSheetId="7">'Reduce DMR (2)'!$B$58</definedName>
    <definedName name="mpr3_" localSheetId="1">'Status Quo'!$B$58</definedName>
    <definedName name="mpr3_">'Proof of Concept'!$B$55</definedName>
    <definedName name="oa" localSheetId="2">'Excluders (1)'!$K$11:$AI$11</definedName>
    <definedName name="oa" localSheetId="3">'Excluders (2)'!$K$11:$AI$11</definedName>
    <definedName name="oa" localSheetId="4">'No Size Limit (1)'!$K$11:$AI$11</definedName>
    <definedName name="oa" localSheetId="5">'No Size Limit (2)'!$K$11:$AI$11</definedName>
    <definedName name="oa" localSheetId="6">'Reduce DMR (1)'!$K$11:$AI$11</definedName>
    <definedName name="oa" localSheetId="7">'Reduce DMR (2)'!$K$11:$AI$11</definedName>
    <definedName name="oa" localSheetId="1">'Status Quo'!$K$11:$AI$11</definedName>
    <definedName name="oa">'Proof of Concept'!$K$11:$AI$11</definedName>
    <definedName name="phi_q1" localSheetId="2">'Excluders (1)'!$B$39</definedName>
    <definedName name="phi_q1" localSheetId="3">'Excluders (2)'!$B$39</definedName>
    <definedName name="phi_q1" localSheetId="4">'No Size Limit (1)'!$B$39</definedName>
    <definedName name="phi_q1" localSheetId="5">'No Size Limit (2)'!$B$39</definedName>
    <definedName name="phi_q1" localSheetId="6">'Reduce DMR (1)'!$B$39</definedName>
    <definedName name="phi_q1" localSheetId="7">'Reduce DMR (2)'!$B$39</definedName>
    <definedName name="phi_q1" localSheetId="1">'Status Quo'!$B$39</definedName>
    <definedName name="phi_q1">'Proof of Concept'!$B$38</definedName>
    <definedName name="phi_q2" localSheetId="2">'Excluders (1)'!$B$40</definedName>
    <definedName name="phi_q2" localSheetId="3">'Excluders (2)'!$B$40</definedName>
    <definedName name="phi_q2" localSheetId="4">'No Size Limit (1)'!$B$40</definedName>
    <definedName name="phi_q2" localSheetId="5">'No Size Limit (2)'!$B$40</definedName>
    <definedName name="phi_q2" localSheetId="6">'Reduce DMR (1)'!$B$40</definedName>
    <definedName name="phi_q2" localSheetId="7">'Reduce DMR (2)'!$B$40</definedName>
    <definedName name="phi_q2" localSheetId="1">'Status Quo'!$B$40</definedName>
    <definedName name="phi_q2">'Proof of Concept'!$B$39</definedName>
    <definedName name="phi_q3" localSheetId="2">'Excluders (1)'!$B$41</definedName>
    <definedName name="phi_q3" localSheetId="3">'Excluders (2)'!$B$41</definedName>
    <definedName name="phi_q3" localSheetId="4">'No Size Limit (1)'!$B$41</definedName>
    <definedName name="phi_q3" localSheetId="5">'No Size Limit (2)'!$B$41</definedName>
    <definedName name="phi_q3" localSheetId="6">'Reduce DMR (1)'!$B$41</definedName>
    <definedName name="phi_q3" localSheetId="7">'Reduce DMR (2)'!$B$41</definedName>
    <definedName name="phi_q3" localSheetId="1">'Status Quo'!$B$41</definedName>
    <definedName name="phi_q3">'Proof of Concept'!$B$40</definedName>
    <definedName name="phi_t1" localSheetId="2">'Excluders (1)'!$B$36</definedName>
    <definedName name="phi_t1" localSheetId="3">'Excluders (2)'!$B$36</definedName>
    <definedName name="phi_t1" localSheetId="4">'No Size Limit (1)'!$B$36</definedName>
    <definedName name="phi_t1" localSheetId="5">'No Size Limit (2)'!$B$36</definedName>
    <definedName name="phi_t1" localSheetId="6">'Reduce DMR (1)'!$B$36</definedName>
    <definedName name="phi_t1" localSheetId="7">'Reduce DMR (2)'!$B$36</definedName>
    <definedName name="phi_t1" localSheetId="1">'Status Quo'!$B$36</definedName>
    <definedName name="phi_t1">'Proof of Concept'!$B$35</definedName>
    <definedName name="phi_t2" localSheetId="2">'Excluders (1)'!$B$37</definedName>
    <definedName name="phi_t2" localSheetId="3">'Excluders (2)'!$B$37</definedName>
    <definedName name="phi_t2" localSheetId="4">'No Size Limit (1)'!$B$37</definedName>
    <definedName name="phi_t2" localSheetId="5">'No Size Limit (2)'!$B$37</definedName>
    <definedName name="phi_t2" localSheetId="6">'Reduce DMR (1)'!$B$37</definedName>
    <definedName name="phi_t2" localSheetId="7">'Reduce DMR (2)'!$B$37</definedName>
    <definedName name="phi_t2" localSheetId="1">'Status Quo'!$B$37</definedName>
    <definedName name="phi_t2">'Proof of Concept'!$B$36</definedName>
    <definedName name="phi_t3" localSheetId="2">'Excluders (1)'!$B$38</definedName>
    <definedName name="phi_t3" localSheetId="3">'Excluders (2)'!$B$38</definedName>
    <definedName name="phi_t3" localSheetId="4">'No Size Limit (1)'!$B$38</definedName>
    <definedName name="phi_t3" localSheetId="5">'No Size Limit (2)'!$B$38</definedName>
    <definedName name="phi_t3" localSheetId="6">'Reduce DMR (1)'!$B$38</definedName>
    <definedName name="phi_t3" localSheetId="7">'Reduce DMR (2)'!$B$38</definedName>
    <definedName name="phi_t3" localSheetId="1">'Status Quo'!$B$38</definedName>
    <definedName name="phi_t3">'Proof of Concept'!$B$37</definedName>
    <definedName name="phib" localSheetId="3">'Excluders (2)'!$B$33</definedName>
    <definedName name="phib">'Excluders (1)'!$B$33</definedName>
    <definedName name="phie" localSheetId="2">'Excluders (1)'!$B$34</definedName>
    <definedName name="phie" localSheetId="3">'Excluders (2)'!$B$34</definedName>
    <definedName name="phie" localSheetId="4">'No Size Limit (1)'!$B$34</definedName>
    <definedName name="phie" localSheetId="5">'No Size Limit (2)'!$B$34</definedName>
    <definedName name="phie" localSheetId="6">'Reduce DMR (1)'!$B$34</definedName>
    <definedName name="phie" localSheetId="7">'Reduce DMR (2)'!$B$34</definedName>
    <definedName name="phie" localSheetId="1">'Status Quo'!$B$34</definedName>
    <definedName name="phie">'Proof of Concept'!$B$33</definedName>
    <definedName name="phif" localSheetId="2">'Excluders (1)'!$B$35</definedName>
    <definedName name="phif" localSheetId="3">'Excluders (2)'!$B$35</definedName>
    <definedName name="phif" localSheetId="4">'No Size Limit (1)'!$B$35</definedName>
    <definedName name="phif" localSheetId="5">'No Size Limit (2)'!$B$35</definedName>
    <definedName name="phif" localSheetId="6">'Reduce DMR (1)'!$B$35</definedName>
    <definedName name="phif" localSheetId="7">'Reduce DMR (2)'!$B$35</definedName>
    <definedName name="phif" localSheetId="1">'Status Quo'!$B$35</definedName>
    <definedName name="phif">'Proof of Concept'!$B$34</definedName>
    <definedName name="qa1_" localSheetId="2">'Excluders (1)'!$K$22:$AI$22</definedName>
    <definedName name="qa1_" localSheetId="3">'Excluders (2)'!$K$22:$AI$22</definedName>
    <definedName name="qa1_" localSheetId="4">'No Size Limit (1)'!$K$22:$AI$22</definedName>
    <definedName name="qa1_" localSheetId="5">'No Size Limit (2)'!$K$22:$AI$22</definedName>
    <definedName name="qa1_" localSheetId="6">'Reduce DMR (1)'!$K$22:$AI$22</definedName>
    <definedName name="qa1_" localSheetId="7">'Reduce DMR (2)'!$K$22:$AI$22</definedName>
    <definedName name="qa1_" localSheetId="1">'Status Quo'!$K$22:$AI$22</definedName>
    <definedName name="qa1_">'Proof of Concept'!$K$22:$AI$22</definedName>
    <definedName name="qa2_" localSheetId="2">'Excluders (1)'!$K$23:$AI$23</definedName>
    <definedName name="qa2_" localSheetId="3">'Excluders (2)'!$K$23:$AI$23</definedName>
    <definedName name="qa2_" localSheetId="4">'No Size Limit (1)'!$K$23:$AI$23</definedName>
    <definedName name="qa2_" localSheetId="5">'No Size Limit (2)'!$K$23:$AI$23</definedName>
    <definedName name="qa2_" localSheetId="6">'Reduce DMR (1)'!$K$23:$AI$23</definedName>
    <definedName name="qa2_" localSheetId="7">'Reduce DMR (2)'!$K$23:$AI$23</definedName>
    <definedName name="qa2_" localSheetId="1">'Status Quo'!$K$23:$AI$23</definedName>
    <definedName name="qa2_">'Proof of Concept'!$K$23:$AI$23</definedName>
    <definedName name="qa3_" localSheetId="2">'Excluders (1)'!$K$24:$AI$24</definedName>
    <definedName name="qa3_" localSheetId="3">'Excluders (2)'!$K$24:$AI$24</definedName>
    <definedName name="qa3_" localSheetId="4">'No Size Limit (1)'!$K$24:$AI$24</definedName>
    <definedName name="qa3_" localSheetId="5">'No Size Limit (2)'!$K$24:$AI$24</definedName>
    <definedName name="qa3_" localSheetId="6">'Reduce DMR (1)'!$K$24:$AI$24</definedName>
    <definedName name="qa3_" localSheetId="7">'Reduce DMR (2)'!$K$24:$AI$24</definedName>
    <definedName name="qa3_" localSheetId="1">'Status Quo'!$K$24:$AI$24</definedName>
    <definedName name="qa3_">'Proof of Concept'!$K$24:$AI$24</definedName>
    <definedName name="re" localSheetId="2">'Excluders (1)'!$B$47</definedName>
    <definedName name="re" localSheetId="3">'Excluders (2)'!$B$47</definedName>
    <definedName name="re" localSheetId="4">'No Size Limit (1)'!$B$47</definedName>
    <definedName name="re" localSheetId="5">'No Size Limit (2)'!$B$47</definedName>
    <definedName name="re" localSheetId="6">'Reduce DMR (1)'!$B$47</definedName>
    <definedName name="re" localSheetId="7">'Reduce DMR (2)'!$B$47</definedName>
    <definedName name="re" localSheetId="1">'Status Quo'!$B$47</definedName>
    <definedName name="re">'Proof of Concept'!$B$44</definedName>
    <definedName name="reck" localSheetId="2">'Excluders (1)'!$B$19</definedName>
    <definedName name="reck" localSheetId="3">'Excluders (2)'!$B$19</definedName>
    <definedName name="reck" localSheetId="4">'No Size Limit (1)'!$B$19</definedName>
    <definedName name="reck" localSheetId="5">'No Size Limit (2)'!$B$19</definedName>
    <definedName name="reck" localSheetId="6">'Reduce DMR (1)'!$B$19</definedName>
    <definedName name="reck" localSheetId="7">'Reduce DMR (2)'!$B$19</definedName>
    <definedName name="reck" localSheetId="1">'Status Quo'!$B$19</definedName>
    <definedName name="reck">'Proof of Concept'!$B$19</definedName>
    <definedName name="Ro" localSheetId="2">'Excluders (1)'!$B$21</definedName>
    <definedName name="Ro" localSheetId="3">'Excluders (2)'!$B$21</definedName>
    <definedName name="Ro" localSheetId="4">'No Size Limit (1)'!$B$21</definedName>
    <definedName name="Ro" localSheetId="5">'No Size Limit (2)'!$B$21</definedName>
    <definedName name="Ro" localSheetId="6">'Reduce DMR (1)'!$B$21</definedName>
    <definedName name="Ro" localSheetId="7">'Reduce DMR (2)'!$B$21</definedName>
    <definedName name="Ro" localSheetId="1">'Status Quo'!$B$21</definedName>
    <definedName name="Ro">'Proof of Concept'!$B$21</definedName>
    <definedName name="sa" localSheetId="2">'Excluders (1)'!$K$10:$AI$10</definedName>
    <definedName name="sa" localSheetId="3">'Excluders (2)'!$K$10:$AI$10</definedName>
    <definedName name="sa" localSheetId="4">'No Size Limit (1)'!$K$10:$AI$10</definedName>
    <definedName name="sa" localSheetId="5">'No Size Limit (2)'!$K$10:$AI$10</definedName>
    <definedName name="sa" localSheetId="6">'Reduce DMR (1)'!$K$10:$AI$10</definedName>
    <definedName name="sa" localSheetId="7">'Reduce DMR (2)'!$K$10:$AI$10</definedName>
    <definedName name="sa" localSheetId="1">'Status Quo'!$K$10:$AI$10</definedName>
    <definedName name="sa">'Proof of Concept'!$K$10:$AI$10</definedName>
    <definedName name="slim" localSheetId="2">'Excluders (1)'!$E$18:$E$20</definedName>
    <definedName name="slim" localSheetId="3">'Excluders (2)'!$E$18:$E$20</definedName>
    <definedName name="slim" localSheetId="4">'No Size Limit (1)'!$E$18:$E$20</definedName>
    <definedName name="slim" localSheetId="5">'No Size Limit (2)'!$E$18:$E$20</definedName>
    <definedName name="slim" localSheetId="6">'Reduce DMR (1)'!$E$18:$E$20</definedName>
    <definedName name="slim" localSheetId="7">'Reduce DMR (2)'!$E$18:$E$20</definedName>
    <definedName name="slim" localSheetId="1">'Status Quo'!$E$18:$E$20</definedName>
    <definedName name="slim">'Proof of Concept'!$E$18:$E$20</definedName>
    <definedName name="solver_adj" localSheetId="2" hidden="1">'Excluders (1)'!$B$30</definedName>
    <definedName name="solver_adj" localSheetId="3" hidden="1">'Excluders (2)'!$B$30</definedName>
    <definedName name="solver_adj" localSheetId="4" hidden="1">'No Size Limit (1)'!$B$30</definedName>
    <definedName name="solver_adj" localSheetId="5" hidden="1">'No Size Limit (2)'!$B$30</definedName>
    <definedName name="solver_adj" localSheetId="8" hidden="1">'Proof of Concept'!$B$27,'Proof of Concept'!$B$28,'Proof of Concept'!$B$29</definedName>
    <definedName name="solver_adj" localSheetId="6" hidden="1">'Reduce DMR (1)'!$B$30</definedName>
    <definedName name="solver_adj" localSheetId="7" hidden="1">'Reduce DMR (2)'!$B$30</definedName>
    <definedName name="solver_adj" localSheetId="10" hidden="1">SAA!$B$1,SAA!$B$2,SAA!$B$3</definedName>
    <definedName name="solver_adj" localSheetId="9" hidden="1">Selectivities!$A$11:$C$11</definedName>
    <definedName name="solver_adj" localSheetId="1" hidden="1">'Status Quo'!$B$30</definedName>
    <definedName name="solver_cvg" localSheetId="2" hidden="1">0.000001</definedName>
    <definedName name="solver_cvg" localSheetId="3" hidden="1">0.000001</definedName>
    <definedName name="solver_cvg" localSheetId="4" hidden="1">0.000001</definedName>
    <definedName name="solver_cvg" localSheetId="5" hidden="1">0.000001</definedName>
    <definedName name="solver_cvg" localSheetId="8" hidden="1">0.0001</definedName>
    <definedName name="solver_cvg" localSheetId="6" hidden="1">0.000001</definedName>
    <definedName name="solver_cvg" localSheetId="7" hidden="1">0.000001</definedName>
    <definedName name="solver_cvg" localSheetId="10" hidden="1">0.0001</definedName>
    <definedName name="solver_cvg" localSheetId="9" hidden="1">0.0001</definedName>
    <definedName name="solver_cvg" localSheetId="1" hidden="1">0.000001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8" hidden="1">1</definedName>
    <definedName name="solver_drv" localSheetId="6" hidden="1">1</definedName>
    <definedName name="solver_drv" localSheetId="7" hidden="1">1</definedName>
    <definedName name="solver_drv" localSheetId="10" hidden="1">1</definedName>
    <definedName name="solver_drv" localSheetId="9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8" hidden="1">1</definedName>
    <definedName name="solver_eng" localSheetId="6" hidden="1">1</definedName>
    <definedName name="solver_eng" localSheetId="7" hidden="1">1</definedName>
    <definedName name="solver_eng" localSheetId="10" hidden="1">1</definedName>
    <definedName name="solver_eng" localSheetId="9" hidden="1">1</definedName>
    <definedName name="solver_eng" localSheetId="1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8" hidden="1">2147483647</definedName>
    <definedName name="solver_itr" localSheetId="6" hidden="1">2147483647</definedName>
    <definedName name="solver_itr" localSheetId="7" hidden="1">2147483647</definedName>
    <definedName name="solver_itr" localSheetId="10" hidden="1">2147483647</definedName>
    <definedName name="solver_itr" localSheetId="9" hidden="1">2147483647</definedName>
    <definedName name="solver_itr" localSheetId="1" hidden="1">2147483647</definedName>
    <definedName name="solver_lhs1" localSheetId="2" hidden="1">'Excluders (1)'!$B$30</definedName>
    <definedName name="solver_lhs1" localSheetId="3" hidden="1">'Excluders (2)'!$B$30</definedName>
    <definedName name="solver_lhs1" localSheetId="4" hidden="1">'No Size Limit (1)'!$B$30</definedName>
    <definedName name="solver_lhs1" localSheetId="5" hidden="1">'No Size Limit (2)'!$B$30</definedName>
    <definedName name="solver_lhs1" localSheetId="6" hidden="1">'Reduce DMR (1)'!$B$30</definedName>
    <definedName name="solver_lhs1" localSheetId="7" hidden="1">'Reduce DMR (2)'!$B$30</definedName>
    <definedName name="solver_lhs1" localSheetId="9" hidden="1">Selectivities!$C$11</definedName>
    <definedName name="solver_lhs1" localSheetId="1" hidden="1">'Status Quo'!$B$30</definedName>
    <definedName name="solver_lhs2" localSheetId="2" hidden="1">'Excluders (1)'!$B$30</definedName>
    <definedName name="solver_lhs2" localSheetId="3" hidden="1">'Excluders (2)'!$B$30</definedName>
    <definedName name="solver_lhs2" localSheetId="4" hidden="1">'No Size Limit (1)'!$B$30</definedName>
    <definedName name="solver_lhs2" localSheetId="5" hidden="1">'No Size Limit (2)'!$B$30</definedName>
    <definedName name="solver_lhs2" localSheetId="6" hidden="1">'Reduce DMR (1)'!$B$30</definedName>
    <definedName name="solver_lhs2" localSheetId="7" hidden="1">'Reduce DMR (2)'!$B$30</definedName>
    <definedName name="solver_lhs2" localSheetId="9" hidden="1">Selectivities!$B$9:$B$13</definedName>
    <definedName name="solver_lhs2" localSheetId="1" hidden="1">'Status Quo'!$B$30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8" hidden="1">2</definedName>
    <definedName name="solver_lin" localSheetId="6" hidden="1">2</definedName>
    <definedName name="solver_lin" localSheetId="7" hidden="1">2</definedName>
    <definedName name="solver_lin" localSheetId="10" hidden="1">2</definedName>
    <definedName name="solver_lin" localSheetId="9" hidden="1">2</definedName>
    <definedName name="solver_lin" localSheetId="1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8" hidden="1">2147483647</definedName>
    <definedName name="solver_mip" localSheetId="6" hidden="1">2147483647</definedName>
    <definedName name="solver_mip" localSheetId="7" hidden="1">2147483647</definedName>
    <definedName name="solver_mip" localSheetId="10" hidden="1">2147483647</definedName>
    <definedName name="solver_mip" localSheetId="9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8" hidden="1">30</definedName>
    <definedName name="solver_mni" localSheetId="6" hidden="1">30</definedName>
    <definedName name="solver_mni" localSheetId="7" hidden="1">30</definedName>
    <definedName name="solver_mni" localSheetId="10" hidden="1">30</definedName>
    <definedName name="solver_mni" localSheetId="9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8" hidden="1">0.075</definedName>
    <definedName name="solver_mrt" localSheetId="6" hidden="1">0.075</definedName>
    <definedName name="solver_mrt" localSheetId="7" hidden="1">0.075</definedName>
    <definedName name="solver_mrt" localSheetId="10" hidden="1">0.075</definedName>
    <definedName name="solver_mrt" localSheetId="9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8" hidden="1">2</definedName>
    <definedName name="solver_msl" localSheetId="6" hidden="1">2</definedName>
    <definedName name="solver_msl" localSheetId="7" hidden="1">2</definedName>
    <definedName name="solver_msl" localSheetId="10" hidden="1">2</definedName>
    <definedName name="solver_msl" localSheetId="9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8" hidden="1">1</definedName>
    <definedName name="solver_neg" localSheetId="6" hidden="1">1</definedName>
    <definedName name="solver_neg" localSheetId="7" hidden="1">1</definedName>
    <definedName name="solver_neg" localSheetId="10" hidden="1">1</definedName>
    <definedName name="solver_neg" localSheetId="9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8" hidden="1">2147483647</definedName>
    <definedName name="solver_nod" localSheetId="6" hidden="1">2147483647</definedName>
    <definedName name="solver_nod" localSheetId="7" hidden="1">2147483647</definedName>
    <definedName name="solver_nod" localSheetId="10" hidden="1">2147483647</definedName>
    <definedName name="solver_nod" localSheetId="9" hidden="1">2147483647</definedName>
    <definedName name="solver_nod" localSheetId="1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8" hidden="1">0</definedName>
    <definedName name="solver_num" localSheetId="6" hidden="1">0</definedName>
    <definedName name="solver_num" localSheetId="7" hidden="1">0</definedName>
    <definedName name="solver_num" localSheetId="10" hidden="1">0</definedName>
    <definedName name="solver_num" localSheetId="9" hidden="1">1</definedName>
    <definedName name="solver_num" localSheetId="1" hidden="1">0</definedName>
    <definedName name="solver_opt" localSheetId="2" hidden="1">'Excluders (1)'!$C$15</definedName>
    <definedName name="solver_opt" localSheetId="3" hidden="1">'Excluders (2)'!$C$15</definedName>
    <definedName name="solver_opt" localSheetId="4" hidden="1">'No Size Limit (1)'!$C$15</definedName>
    <definedName name="solver_opt" localSheetId="5" hidden="1">'No Size Limit (2)'!$C$15</definedName>
    <definedName name="solver_opt" localSheetId="8" hidden="1">'Proof of Concept'!$C$15</definedName>
    <definedName name="solver_opt" localSheetId="6" hidden="1">'Reduce DMR (1)'!$C$15</definedName>
    <definedName name="solver_opt" localSheetId="7" hidden="1">'Reduce DMR (2)'!$C$15</definedName>
    <definedName name="solver_opt" localSheetId="10" hidden="1">SAA!$B$4</definedName>
    <definedName name="solver_opt" localSheetId="9" hidden="1">Selectivities!$B$4</definedName>
    <definedName name="solver_opt" localSheetId="1" hidden="1">'Status Quo'!$C$15</definedName>
    <definedName name="solver_pre" localSheetId="2" hidden="1">0.000000001</definedName>
    <definedName name="solver_pre" localSheetId="3" hidden="1">0.000000001</definedName>
    <definedName name="solver_pre" localSheetId="4" hidden="1">0.000000001</definedName>
    <definedName name="solver_pre" localSheetId="5" hidden="1">0.000000001</definedName>
    <definedName name="solver_pre" localSheetId="8" hidden="1">0.000000001</definedName>
    <definedName name="solver_pre" localSheetId="6" hidden="1">0.000000001</definedName>
    <definedName name="solver_pre" localSheetId="7" hidden="1">0.000000001</definedName>
    <definedName name="solver_pre" localSheetId="10" hidden="1">0.000001</definedName>
    <definedName name="solver_pre" localSheetId="9" hidden="1">0.000001</definedName>
    <definedName name="solver_pre" localSheetId="1" hidden="1">0.000000001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8" hidden="1">1</definedName>
    <definedName name="solver_rbv" localSheetId="6" hidden="1">2</definedName>
    <definedName name="solver_rbv" localSheetId="7" hidden="1">2</definedName>
    <definedName name="solver_rbv" localSheetId="10" hidden="1">1</definedName>
    <definedName name="solver_rbv" localSheetId="9" hidden="1">1</definedName>
    <definedName name="solver_rbv" localSheetId="1" hidden="1">2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9" hidden="1">3</definedName>
    <definedName name="solver_rel1" localSheetId="1" hidden="1">1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9" hidden="1">3</definedName>
    <definedName name="solver_rel2" localSheetId="1" hidden="1">3</definedName>
    <definedName name="solver_rhs1" localSheetId="2" hidden="1">2</definedName>
    <definedName name="solver_rhs1" localSheetId="3" hidden="1">2</definedName>
    <definedName name="solver_rhs1" localSheetId="4" hidden="1">2</definedName>
    <definedName name="solver_rhs1" localSheetId="5" hidden="1">2</definedName>
    <definedName name="solver_rhs1" localSheetId="6" hidden="1">2</definedName>
    <definedName name="solver_rhs1" localSheetId="7" hidden="1">2</definedName>
    <definedName name="solver_rhs1" localSheetId="9" hidden="1">0.00001</definedName>
    <definedName name="solver_rhs1" localSheetId="1" hidden="1">2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9" hidden="1">0.001</definedName>
    <definedName name="solver_rhs2" localSheetId="1" hidden="1">0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8" hidden="1">2</definedName>
    <definedName name="solver_rlx" localSheetId="6" hidden="1">2</definedName>
    <definedName name="solver_rlx" localSheetId="7" hidden="1">2</definedName>
    <definedName name="solver_rlx" localSheetId="10" hidden="1">2</definedName>
    <definedName name="solver_rlx" localSheetId="9" hidden="1">2</definedName>
    <definedName name="solver_rlx" localSheetId="1" hidden="1">2</definedName>
    <definedName name="solver_rsd" localSheetId="2" hidden="1">123</definedName>
    <definedName name="solver_rsd" localSheetId="3" hidden="1">123</definedName>
    <definedName name="solver_rsd" localSheetId="4" hidden="1">123</definedName>
    <definedName name="solver_rsd" localSheetId="5" hidden="1">123</definedName>
    <definedName name="solver_rsd" localSheetId="8" hidden="1">0</definedName>
    <definedName name="solver_rsd" localSheetId="6" hidden="1">123</definedName>
    <definedName name="solver_rsd" localSheetId="7" hidden="1">123</definedName>
    <definedName name="solver_rsd" localSheetId="10" hidden="1">0</definedName>
    <definedName name="solver_rsd" localSheetId="9" hidden="1">0</definedName>
    <definedName name="solver_rsd" localSheetId="1" hidden="1">123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8" hidden="1">1</definedName>
    <definedName name="solver_scl" localSheetId="6" hidden="1">1</definedName>
    <definedName name="solver_scl" localSheetId="7" hidden="1">1</definedName>
    <definedName name="solver_scl" localSheetId="10" hidden="1">1</definedName>
    <definedName name="solver_scl" localSheetId="9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8" hidden="1">2</definedName>
    <definedName name="solver_sho" localSheetId="6" hidden="1">2</definedName>
    <definedName name="solver_sho" localSheetId="7" hidden="1">2</definedName>
    <definedName name="solver_sho" localSheetId="10" hidden="1">2</definedName>
    <definedName name="solver_sho" localSheetId="9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8" hidden="1">100</definedName>
    <definedName name="solver_ssz" localSheetId="6" hidden="1">100</definedName>
    <definedName name="solver_ssz" localSheetId="7" hidden="1">100</definedName>
    <definedName name="solver_ssz" localSheetId="10" hidden="1">100</definedName>
    <definedName name="solver_ssz" localSheetId="9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8" hidden="1">2147483647</definedName>
    <definedName name="solver_tim" localSheetId="6" hidden="1">2147483647</definedName>
    <definedName name="solver_tim" localSheetId="7" hidden="1">2147483647</definedName>
    <definedName name="solver_tim" localSheetId="10" hidden="1">2147483647</definedName>
    <definedName name="solver_tim" localSheetId="9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8" hidden="1">0.01</definedName>
    <definedName name="solver_tol" localSheetId="6" hidden="1">0.01</definedName>
    <definedName name="solver_tol" localSheetId="7" hidden="1">0.01</definedName>
    <definedName name="solver_tol" localSheetId="10" hidden="1">0.01</definedName>
    <definedName name="solver_tol" localSheetId="9" hidden="1">0.01</definedName>
    <definedName name="solver_tol" localSheetId="1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8" hidden="1">2</definedName>
    <definedName name="solver_typ" localSheetId="6" hidden="1">2</definedName>
    <definedName name="solver_typ" localSheetId="7" hidden="1">2</definedName>
    <definedName name="solver_typ" localSheetId="10" hidden="1">2</definedName>
    <definedName name="solver_typ" localSheetId="9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8" hidden="1">0</definedName>
    <definedName name="solver_val" localSheetId="6" hidden="1">0</definedName>
    <definedName name="solver_val" localSheetId="7" hidden="1">0</definedName>
    <definedName name="solver_val" localSheetId="10" hidden="1">0</definedName>
    <definedName name="solver_val" localSheetId="9" hidden="1">0</definedName>
    <definedName name="solver_val" localSheetId="1" hidden="1">0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8" hidden="1">2</definedName>
    <definedName name="solver_ver" localSheetId="6" hidden="1">2</definedName>
    <definedName name="solver_ver" localSheetId="7" hidden="1">2</definedName>
    <definedName name="solver_ver" localSheetId="10" hidden="1">2</definedName>
    <definedName name="solver_ver" localSheetId="9" hidden="1">2</definedName>
    <definedName name="solver_ver" localSheetId="1" hidden="1">2</definedName>
    <definedName name="spr" localSheetId="2">'Excluders (1)'!$B$46</definedName>
    <definedName name="spr" localSheetId="3">'Excluders (2)'!$B$46</definedName>
    <definedName name="spr" localSheetId="4">'No Size Limit (1)'!$B$46</definedName>
    <definedName name="spr" localSheetId="5">'No Size Limit (2)'!$B$46</definedName>
    <definedName name="spr" localSheetId="6">'Reduce DMR (1)'!$B$46</definedName>
    <definedName name="spr" localSheetId="7">'Reduce DMR (2)'!$B$46</definedName>
    <definedName name="spr" localSheetId="1">'Status Quo'!$B$46</definedName>
    <definedName name="spr">'Proof of Concept'!$B$43</definedName>
    <definedName name="sr" localSheetId="2">'Excluders (1)'!$K$12:$AI$12</definedName>
    <definedName name="sr" localSheetId="3">'Excluders (2)'!$K$12:$AI$12</definedName>
    <definedName name="sr" localSheetId="4">'No Size Limit (1)'!$K$12:$AI$12</definedName>
    <definedName name="sr" localSheetId="5">'No Size Limit (2)'!$K$12:$AI$12</definedName>
    <definedName name="sr" localSheetId="6">'Reduce DMR (1)'!$K$12:$AI$12</definedName>
    <definedName name="sr" localSheetId="7">'Reduce DMR (2)'!$K$12:$AI$12</definedName>
    <definedName name="sr" localSheetId="1">'Status Quo'!$K$12:$AI$12</definedName>
    <definedName name="sr">'Proof of Concept'!$K$12:$AI$12</definedName>
    <definedName name="sr_1" localSheetId="2">'Excluders (1)'!$K$12:$AI$12</definedName>
    <definedName name="sr_1" localSheetId="3">'Excluders (2)'!$K$12:$AI$12</definedName>
    <definedName name="sr_1" localSheetId="4">'No Size Limit (1)'!$K$12:$AI$12</definedName>
    <definedName name="sr_1" localSheetId="5">'No Size Limit (2)'!$K$12:$AI$12</definedName>
    <definedName name="sr_1" localSheetId="6">'Reduce DMR (1)'!$K$12:$AI$12</definedName>
    <definedName name="sr_1" localSheetId="7">'Reduce DMR (2)'!$K$12:$AI$12</definedName>
    <definedName name="sr_1" localSheetId="1">'Status Quo'!$K$12:$AI$12</definedName>
    <definedName name="sr_1">#REF!</definedName>
    <definedName name="sr_2" localSheetId="2">'Excluders (1)'!$K$13:$AI$13</definedName>
    <definedName name="sr_2" localSheetId="3">'Excluders (2)'!$K$13:$AI$13</definedName>
    <definedName name="sr_2" localSheetId="4">'No Size Limit (1)'!$K$13:$AI$13</definedName>
    <definedName name="sr_2" localSheetId="5">'No Size Limit (2)'!$K$13:$AI$13</definedName>
    <definedName name="sr_2" localSheetId="6">'Reduce DMR (1)'!$K$13:$AI$13</definedName>
    <definedName name="sr_2" localSheetId="7">'Reduce DMR (2)'!$K$13:$AI$13</definedName>
    <definedName name="sr_2" localSheetId="1">'Status Quo'!$K$13:$AI$13</definedName>
    <definedName name="sr_2">#REF!</definedName>
    <definedName name="sr_3" localSheetId="2">'Excluders (1)'!$K$14:$AI$14</definedName>
    <definedName name="sr_3" localSheetId="3">'Excluders (2)'!$K$14:$AI$14</definedName>
    <definedName name="sr_3" localSheetId="4">'No Size Limit (1)'!$K$14:$AI$14</definedName>
    <definedName name="sr_3" localSheetId="5">'No Size Limit (2)'!$K$14:$AI$14</definedName>
    <definedName name="sr_3" localSheetId="6">'Reduce DMR (1)'!$K$14:$AI$14</definedName>
    <definedName name="sr_3" localSheetId="7">'Reduce DMR (2)'!$K$14:$AI$14</definedName>
    <definedName name="sr_3" localSheetId="1">'Status Quo'!$K$14:$AI$14</definedName>
    <definedName name="sr_3">#REF!</definedName>
    <definedName name="ta1_" localSheetId="2">'Excluders (1)'!$K$26:$AI$26</definedName>
    <definedName name="ta1_" localSheetId="3">'Excluders (2)'!$K$26:$AI$26</definedName>
    <definedName name="ta1_" localSheetId="4">'No Size Limit (1)'!$K$26:$AI$26</definedName>
    <definedName name="ta1_" localSheetId="5">'No Size Limit (2)'!$K$26:$AI$26</definedName>
    <definedName name="ta1_" localSheetId="6">'Reduce DMR (1)'!$K$26:$AI$26</definedName>
    <definedName name="ta1_" localSheetId="7">'Reduce DMR (2)'!$K$26:$AI$26</definedName>
    <definedName name="ta1_" localSheetId="1">'Status Quo'!$K$26:$AI$26</definedName>
    <definedName name="ta1_">'Proof of Concept'!$K$26:$AI$26</definedName>
    <definedName name="ta2_" localSheetId="2">'Excluders (1)'!$K$27:$AI$27</definedName>
    <definedName name="ta2_" localSheetId="3">'Excluders (2)'!$K$27:$AI$27</definedName>
    <definedName name="ta2_" localSheetId="4">'No Size Limit (1)'!$K$27:$AI$27</definedName>
    <definedName name="ta2_" localSheetId="5">'No Size Limit (2)'!$K$27:$AI$27</definedName>
    <definedName name="ta2_" localSheetId="6">'Reduce DMR (1)'!$K$27:$AI$27</definedName>
    <definedName name="ta2_" localSheetId="7">'Reduce DMR (2)'!$K$27:$AI$27</definedName>
    <definedName name="ta2_" localSheetId="1">'Status Quo'!$K$27:$AI$27</definedName>
    <definedName name="ta2_">'Proof of Concept'!$K$27:$AI$27</definedName>
    <definedName name="ta3_" localSheetId="2">'Excluders (1)'!$K$28:$AI$28</definedName>
    <definedName name="ta3_" localSheetId="3">'Excluders (2)'!$K$28:$AI$28</definedName>
    <definedName name="ta3_" localSheetId="4">'No Size Limit (1)'!$K$28:$AI$28</definedName>
    <definedName name="ta3_" localSheetId="5">'No Size Limit (2)'!$K$28:$AI$28</definedName>
    <definedName name="ta3_" localSheetId="6">'Reduce DMR (1)'!$K$28:$AI$28</definedName>
    <definedName name="ta3_" localSheetId="7">'Reduce DMR (2)'!$K$28:$AI$28</definedName>
    <definedName name="ta3_" localSheetId="1">'Status Quo'!$K$28:$AI$28</definedName>
    <definedName name="ta3_">'Proof of Concept'!$K$28:$AI$28</definedName>
    <definedName name="to" localSheetId="2">'Excluders (1)'!$B$24</definedName>
    <definedName name="to" localSheetId="3">'Excluders (2)'!$B$24</definedName>
    <definedName name="to" localSheetId="4">'No Size Limit (1)'!$B$24</definedName>
    <definedName name="to" localSheetId="5">'No Size Limit (2)'!$B$24</definedName>
    <definedName name="to" localSheetId="6">'Reduce DMR (1)'!$B$24</definedName>
    <definedName name="to" localSheetId="7">'Reduce DMR (2)'!$B$24</definedName>
    <definedName name="to" localSheetId="1">'Status Quo'!$B$24</definedName>
    <definedName name="to">SAA!$B$3</definedName>
    <definedName name="vonbk" localSheetId="2">'Excluders (1)'!$B$23</definedName>
    <definedName name="vonbk" localSheetId="3">'Excluders (2)'!$B$23</definedName>
    <definedName name="vonbk" localSheetId="4">'No Size Limit (1)'!$B$23</definedName>
    <definedName name="vonbk" localSheetId="5">'No Size Limit (2)'!$B$23</definedName>
    <definedName name="vonbk" localSheetId="6">'Reduce DMR (1)'!$B$23</definedName>
    <definedName name="vonbk" localSheetId="7">'Reduce DMR (2)'!$B$23</definedName>
    <definedName name="vonbk" localSheetId="1">'Status Quo'!$B$23</definedName>
    <definedName name="vonbk">'Proof of Concept'!$B$23</definedName>
    <definedName name="wa" localSheetId="2">'Excluders (1)'!$K$5:$AI$5</definedName>
    <definedName name="wa" localSheetId="3">'Excluders (2)'!$K$5:$AI$5</definedName>
    <definedName name="wa" localSheetId="4">'No Size Limit (1)'!$K$5:$AI$5</definedName>
    <definedName name="wa" localSheetId="5">'No Size Limit (2)'!$K$5:$AI$5</definedName>
    <definedName name="wa" localSheetId="6">'Reduce DMR (1)'!$K$5:$AI$5</definedName>
    <definedName name="wa" localSheetId="7">'Reduce DMR (2)'!$K$5:$AI$5</definedName>
    <definedName name="Wa" localSheetId="10">SAA!$D$2:$AG$2</definedName>
    <definedName name="wa" localSheetId="1">'Status Quo'!$K$5:$AI$5</definedName>
    <definedName name="wa">'Proof of Concept'!$K$5:$AI$5</definedName>
    <definedName name="Wa_hat">SAA!$D$3:$AG$3</definedName>
    <definedName name="winf">SAA!$B$1</definedName>
    <definedName name="ye_1" localSheetId="2">'Excluders (1)'!$B$48</definedName>
    <definedName name="ye_1" localSheetId="3">'Excluders (2)'!$B$48</definedName>
    <definedName name="ye_1" localSheetId="4">'No Size Limit (1)'!$B$48</definedName>
    <definedName name="ye_1" localSheetId="5">'No Size Limit (2)'!$B$48</definedName>
    <definedName name="ye_1" localSheetId="6">'Reduce DMR (1)'!$B$48</definedName>
    <definedName name="ye_1" localSheetId="7">'Reduce DMR (2)'!$B$48</definedName>
    <definedName name="ye_1" localSheetId="1">'Status Quo'!$B$48</definedName>
    <definedName name="ye_1">'Proof of Concept'!$B$45</definedName>
    <definedName name="ye_2" localSheetId="2">'Excluders (1)'!$B$49</definedName>
    <definedName name="ye_2" localSheetId="3">'Excluders (2)'!$B$49</definedName>
    <definedName name="ye_2" localSheetId="4">'No Size Limit (1)'!$B$49</definedName>
    <definedName name="ye_2" localSheetId="5">'No Size Limit (2)'!$B$49</definedName>
    <definedName name="ye_2" localSheetId="6">'Reduce DMR (1)'!$B$49</definedName>
    <definedName name="ye_2" localSheetId="7">'Reduce DMR (2)'!$B$49</definedName>
    <definedName name="ye_2" localSheetId="1">'Status Quo'!$B$49</definedName>
    <definedName name="ye_2">'Proof of Concept'!$B$46</definedName>
    <definedName name="ye_3" localSheetId="2">'Excluders (1)'!$B$50</definedName>
    <definedName name="ye_3" localSheetId="3">'Excluders (2)'!$B$50</definedName>
    <definedName name="ye_3" localSheetId="4">'No Size Limit (1)'!$B$50</definedName>
    <definedName name="ye_3" localSheetId="5">'No Size Limit (2)'!$B$50</definedName>
    <definedName name="ye_3" localSheetId="6">'Reduce DMR (1)'!$B$50</definedName>
    <definedName name="ye_3" localSheetId="7">'Reduce DMR (2)'!$B$50</definedName>
    <definedName name="ye_3" localSheetId="1">'Status Quo'!$B$50</definedName>
    <definedName name="ye_3">'Proof of Concept'!$B$47</definedName>
    <definedName name="ypr1" localSheetId="2">'Excluders (1)'!$B$53</definedName>
    <definedName name="ypr1" localSheetId="3">'Excluders (2)'!$B$53</definedName>
    <definedName name="ypr1" localSheetId="4">'No Size Limit (1)'!$B$53</definedName>
    <definedName name="ypr1" localSheetId="5">'No Size Limit (2)'!$B$53</definedName>
    <definedName name="ypr1" localSheetId="6">'Reduce DMR (1)'!$B$53</definedName>
    <definedName name="ypr1" localSheetId="7">'Reduce DMR (2)'!$B$53</definedName>
    <definedName name="ypr1" localSheetId="1">'Status Quo'!$B$53</definedName>
    <definedName name="ypr1">'Proof of Concept'!$B$50</definedName>
    <definedName name="ypr2" localSheetId="2">'Excluders (1)'!$B$54</definedName>
    <definedName name="ypr2" localSheetId="3">'Excluders (2)'!$B$54</definedName>
    <definedName name="ypr2" localSheetId="4">'No Size Limit (1)'!$B$54</definedName>
    <definedName name="ypr2" localSheetId="5">'No Size Limit (2)'!$B$54</definedName>
    <definedName name="ypr2" localSheetId="6">'Reduce DMR (1)'!$B$54</definedName>
    <definedName name="ypr2" localSheetId="7">'Reduce DMR (2)'!$B$54</definedName>
    <definedName name="ypr2" localSheetId="1">'Status Quo'!$B$54</definedName>
    <definedName name="ypr2">'Proof of Concept'!$B$51</definedName>
    <definedName name="ypr3" localSheetId="2">'Excluders (1)'!$B$55</definedName>
    <definedName name="ypr3" localSheetId="3">'Excluders (2)'!$B$55</definedName>
    <definedName name="ypr3" localSheetId="4">'No Size Limit (1)'!$B$55</definedName>
    <definedName name="ypr3" localSheetId="5">'No Size Limit (2)'!$B$55</definedName>
    <definedName name="ypr3" localSheetId="6">'Reduce DMR (1)'!$B$55</definedName>
    <definedName name="ypr3" localSheetId="7">'Reduce DMR (2)'!$B$55</definedName>
    <definedName name="ypr3" localSheetId="1">'Status Quo'!$B$55</definedName>
    <definedName name="ypr3">'Proof of Concept'!$B$52</definedName>
    <definedName name="za" localSheetId="2">'Excluders (1)'!$K$8:$AI$8</definedName>
    <definedName name="za" localSheetId="3">'Excluders (2)'!$K$8:$AI$8</definedName>
    <definedName name="za" localSheetId="4">'No Size Limit (1)'!$K$8:$AI$8</definedName>
    <definedName name="za" localSheetId="5">'No Size Limit (2)'!$K$8:$AI$8</definedName>
    <definedName name="za" localSheetId="6">'Reduce DMR (1)'!$K$8:$AI$8</definedName>
    <definedName name="za" localSheetId="7">'Reduce DMR (2)'!$K$8:$AI$8</definedName>
    <definedName name="za" localSheetId="1">'Status Quo'!$K$8:$AI$8</definedName>
    <definedName name="za">'Proof of Concept'!$K$8:$AI$8</definedName>
  </definedNames>
  <calcPr calcId="140000" calcMode="autoNoTable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" i="3" l="1"/>
  <c r="B4" i="3"/>
  <c r="B23" i="1"/>
  <c r="AI4" i="1"/>
  <c r="AI5" i="1"/>
  <c r="AH4" i="1"/>
  <c r="AH5" i="1"/>
  <c r="AG4" i="1"/>
  <c r="AG5" i="1"/>
  <c r="AF4" i="1"/>
  <c r="AF5" i="1"/>
  <c r="AE4" i="1"/>
  <c r="AE5" i="1"/>
  <c r="AD4" i="1"/>
  <c r="AD5" i="1"/>
  <c r="AC4" i="1"/>
  <c r="AC5" i="1"/>
  <c r="AB4" i="1"/>
  <c r="AB5" i="1"/>
  <c r="AA4" i="1"/>
  <c r="AA5" i="1"/>
  <c r="Z4" i="1"/>
  <c r="Z5" i="1"/>
  <c r="Y4" i="1"/>
  <c r="Y5" i="1"/>
  <c r="X4" i="1"/>
  <c r="X5" i="1"/>
  <c r="W4" i="1"/>
  <c r="W5" i="1"/>
  <c r="V4" i="1"/>
  <c r="V5" i="1"/>
  <c r="U4" i="1"/>
  <c r="U5" i="1"/>
  <c r="T4" i="1"/>
  <c r="T5" i="1"/>
  <c r="S4" i="1"/>
  <c r="S5" i="1"/>
  <c r="R4" i="1"/>
  <c r="R5" i="1"/>
  <c r="Q4" i="1"/>
  <c r="Q5" i="1"/>
  <c r="P4" i="1"/>
  <c r="P5" i="1"/>
  <c r="O4" i="1"/>
  <c r="O5" i="1"/>
  <c r="N4" i="1"/>
  <c r="N5" i="1"/>
  <c r="M4" i="1"/>
  <c r="M5" i="1"/>
  <c r="L4" i="1"/>
  <c r="L5" i="1"/>
  <c r="K4" i="1"/>
  <c r="K5" i="1"/>
  <c r="B22" i="12"/>
  <c r="AI4" i="12"/>
  <c r="AI5" i="12"/>
  <c r="AH4" i="12"/>
  <c r="AH5" i="12"/>
  <c r="AG4" i="12"/>
  <c r="AG5" i="12"/>
  <c r="AF4" i="12"/>
  <c r="AF5" i="12"/>
  <c r="AE4" i="12"/>
  <c r="AE5" i="12"/>
  <c r="AD4" i="12"/>
  <c r="AD5" i="12"/>
  <c r="AC4" i="12"/>
  <c r="AC5" i="12"/>
  <c r="AB4" i="12"/>
  <c r="AB5" i="12"/>
  <c r="AA4" i="12"/>
  <c r="AA5" i="12"/>
  <c r="Z4" i="12"/>
  <c r="Z5" i="12"/>
  <c r="Y4" i="12"/>
  <c r="Y5" i="12"/>
  <c r="X4" i="12"/>
  <c r="X5" i="12"/>
  <c r="W4" i="12"/>
  <c r="W5" i="12"/>
  <c r="V4" i="12"/>
  <c r="V5" i="12"/>
  <c r="U4" i="12"/>
  <c r="U5" i="12"/>
  <c r="T4" i="12"/>
  <c r="T5" i="12"/>
  <c r="S4" i="12"/>
  <c r="S5" i="12"/>
  <c r="R4" i="12"/>
  <c r="R5" i="12"/>
  <c r="Q4" i="12"/>
  <c r="Q5" i="12"/>
  <c r="P4" i="12"/>
  <c r="P5" i="12"/>
  <c r="O4" i="12"/>
  <c r="O5" i="12"/>
  <c r="N4" i="12"/>
  <c r="N5" i="12"/>
  <c r="M4" i="12"/>
  <c r="M5" i="12"/>
  <c r="L4" i="12"/>
  <c r="L5" i="12"/>
  <c r="K4" i="12"/>
  <c r="K5" i="12"/>
  <c r="B22" i="9"/>
  <c r="AI4" i="9"/>
  <c r="AI5" i="9"/>
  <c r="AH4" i="9"/>
  <c r="AH5" i="9"/>
  <c r="AG4" i="9"/>
  <c r="AG5" i="9"/>
  <c r="AF4" i="9"/>
  <c r="AF5" i="9"/>
  <c r="AE4" i="9"/>
  <c r="AE5" i="9"/>
  <c r="AD4" i="9"/>
  <c r="AD5" i="9"/>
  <c r="AC4" i="9"/>
  <c r="AC5" i="9"/>
  <c r="AB4" i="9"/>
  <c r="AB5" i="9"/>
  <c r="AA4" i="9"/>
  <c r="AA5" i="9"/>
  <c r="Z4" i="9"/>
  <c r="Z5" i="9"/>
  <c r="Y4" i="9"/>
  <c r="Y5" i="9"/>
  <c r="X4" i="9"/>
  <c r="X5" i="9"/>
  <c r="W4" i="9"/>
  <c r="W5" i="9"/>
  <c r="V4" i="9"/>
  <c r="V5" i="9"/>
  <c r="U4" i="9"/>
  <c r="U5" i="9"/>
  <c r="T4" i="9"/>
  <c r="T5" i="9"/>
  <c r="S4" i="9"/>
  <c r="S5" i="9"/>
  <c r="R4" i="9"/>
  <c r="R5" i="9"/>
  <c r="Q4" i="9"/>
  <c r="Q5" i="9"/>
  <c r="P4" i="9"/>
  <c r="P5" i="9"/>
  <c r="O4" i="9"/>
  <c r="O5" i="9"/>
  <c r="N4" i="9"/>
  <c r="N5" i="9"/>
  <c r="M4" i="9"/>
  <c r="M5" i="9"/>
  <c r="L4" i="9"/>
  <c r="L5" i="9"/>
  <c r="K4" i="9"/>
  <c r="K5" i="9"/>
  <c r="B22" i="11"/>
  <c r="AI4" i="11"/>
  <c r="AI5" i="11"/>
  <c r="AH4" i="11"/>
  <c r="AH5" i="11"/>
  <c r="AG4" i="11"/>
  <c r="AG5" i="11"/>
  <c r="AF4" i="11"/>
  <c r="AF5" i="11"/>
  <c r="AE4" i="11"/>
  <c r="AE5" i="11"/>
  <c r="AD4" i="11"/>
  <c r="AD5" i="11"/>
  <c r="AC4" i="11"/>
  <c r="AC5" i="11"/>
  <c r="AB4" i="11"/>
  <c r="AB5" i="11"/>
  <c r="AA4" i="11"/>
  <c r="AA5" i="11"/>
  <c r="Z4" i="11"/>
  <c r="Z5" i="11"/>
  <c r="Y4" i="11"/>
  <c r="Y5" i="11"/>
  <c r="X4" i="11"/>
  <c r="X5" i="11"/>
  <c r="W4" i="11"/>
  <c r="W5" i="11"/>
  <c r="V4" i="11"/>
  <c r="V5" i="11"/>
  <c r="U4" i="11"/>
  <c r="U5" i="11"/>
  <c r="T4" i="11"/>
  <c r="T5" i="11"/>
  <c r="S4" i="11"/>
  <c r="S5" i="11"/>
  <c r="R4" i="11"/>
  <c r="R5" i="11"/>
  <c r="Q4" i="11"/>
  <c r="Q5" i="11"/>
  <c r="P4" i="11"/>
  <c r="P5" i="11"/>
  <c r="O4" i="11"/>
  <c r="O5" i="11"/>
  <c r="N4" i="11"/>
  <c r="N5" i="11"/>
  <c r="M4" i="11"/>
  <c r="M5" i="11"/>
  <c r="L4" i="11"/>
  <c r="L5" i="11"/>
  <c r="K4" i="11"/>
  <c r="K5" i="11"/>
  <c r="B22" i="8"/>
  <c r="AI4" i="8"/>
  <c r="AI5" i="8"/>
  <c r="AH4" i="8"/>
  <c r="AH5" i="8"/>
  <c r="AG4" i="8"/>
  <c r="AG5" i="8"/>
  <c r="AF4" i="8"/>
  <c r="AF5" i="8"/>
  <c r="AE4" i="8"/>
  <c r="AE5" i="8"/>
  <c r="AD4" i="8"/>
  <c r="AD5" i="8"/>
  <c r="AC4" i="8"/>
  <c r="AC5" i="8"/>
  <c r="AB4" i="8"/>
  <c r="AB5" i="8"/>
  <c r="AA4" i="8"/>
  <c r="AA5" i="8"/>
  <c r="Z4" i="8"/>
  <c r="Z5" i="8"/>
  <c r="Y4" i="8"/>
  <c r="Y5" i="8"/>
  <c r="X4" i="8"/>
  <c r="X5" i="8"/>
  <c r="W4" i="8"/>
  <c r="W5" i="8"/>
  <c r="V4" i="8"/>
  <c r="V5" i="8"/>
  <c r="U4" i="8"/>
  <c r="U5" i="8"/>
  <c r="T4" i="8"/>
  <c r="T5" i="8"/>
  <c r="S4" i="8"/>
  <c r="S5" i="8"/>
  <c r="R4" i="8"/>
  <c r="R5" i="8"/>
  <c r="Q4" i="8"/>
  <c r="Q5" i="8"/>
  <c r="P4" i="8"/>
  <c r="P5" i="8"/>
  <c r="O4" i="8"/>
  <c r="O5" i="8"/>
  <c r="N4" i="8"/>
  <c r="N5" i="8"/>
  <c r="M4" i="8"/>
  <c r="M5" i="8"/>
  <c r="L4" i="8"/>
  <c r="L5" i="8"/>
  <c r="K4" i="8"/>
  <c r="K5" i="8"/>
  <c r="B22" i="10"/>
  <c r="AI4" i="10"/>
  <c r="AI5" i="10"/>
  <c r="AH4" i="10"/>
  <c r="AH5" i="10"/>
  <c r="AG4" i="10"/>
  <c r="AG5" i="10"/>
  <c r="AF4" i="10"/>
  <c r="AF5" i="10"/>
  <c r="AE4" i="10"/>
  <c r="AE5" i="10"/>
  <c r="AD4" i="10"/>
  <c r="AD5" i="10"/>
  <c r="AC4" i="10"/>
  <c r="AC5" i="10"/>
  <c r="AB4" i="10"/>
  <c r="AB5" i="10"/>
  <c r="AA4" i="10"/>
  <c r="AA5" i="10"/>
  <c r="Z4" i="10"/>
  <c r="Z5" i="10"/>
  <c r="Y4" i="10"/>
  <c r="Y5" i="10"/>
  <c r="X4" i="10"/>
  <c r="X5" i="10"/>
  <c r="W4" i="10"/>
  <c r="W5" i="10"/>
  <c r="V4" i="10"/>
  <c r="V5" i="10"/>
  <c r="U4" i="10"/>
  <c r="U5" i="10"/>
  <c r="T4" i="10"/>
  <c r="T5" i="10"/>
  <c r="S4" i="10"/>
  <c r="S5" i="10"/>
  <c r="R4" i="10"/>
  <c r="R5" i="10"/>
  <c r="Q4" i="10"/>
  <c r="Q5" i="10"/>
  <c r="P4" i="10"/>
  <c r="P5" i="10"/>
  <c r="O4" i="10"/>
  <c r="O5" i="10"/>
  <c r="N4" i="10"/>
  <c r="N5" i="10"/>
  <c r="M4" i="10"/>
  <c r="M5" i="10"/>
  <c r="L4" i="10"/>
  <c r="L5" i="10"/>
  <c r="K4" i="10"/>
  <c r="K5" i="10"/>
  <c r="B12" i="12"/>
  <c r="B11" i="12"/>
  <c r="B12" i="9"/>
  <c r="B11" i="9"/>
  <c r="B12" i="11"/>
  <c r="B11" i="11"/>
  <c r="B12" i="8"/>
  <c r="B11" i="8"/>
  <c r="B12" i="10"/>
  <c r="B11" i="10"/>
  <c r="B12" i="7"/>
  <c r="B11" i="7"/>
  <c r="B22" i="7"/>
  <c r="AI4" i="7"/>
  <c r="AI5" i="7"/>
  <c r="AH4" i="7"/>
  <c r="AH5" i="7"/>
  <c r="AG4" i="7"/>
  <c r="AG5" i="7"/>
  <c r="AF4" i="7"/>
  <c r="AF5" i="7"/>
  <c r="AE4" i="7"/>
  <c r="AE5" i="7"/>
  <c r="AD4" i="7"/>
  <c r="AD5" i="7"/>
  <c r="AC4" i="7"/>
  <c r="AC5" i="7"/>
  <c r="AB4" i="7"/>
  <c r="AB5" i="7"/>
  <c r="AA4" i="7"/>
  <c r="AA5" i="7"/>
  <c r="Z4" i="7"/>
  <c r="Z5" i="7"/>
  <c r="Y4" i="7"/>
  <c r="Y5" i="7"/>
  <c r="X4" i="7"/>
  <c r="X5" i="7"/>
  <c r="W4" i="7"/>
  <c r="W5" i="7"/>
  <c r="V4" i="7"/>
  <c r="V5" i="7"/>
  <c r="U4" i="7"/>
  <c r="U5" i="7"/>
  <c r="T4" i="7"/>
  <c r="T5" i="7"/>
  <c r="S4" i="7"/>
  <c r="S5" i="7"/>
  <c r="R4" i="7"/>
  <c r="R5" i="7"/>
  <c r="Q4" i="7"/>
  <c r="Q5" i="7"/>
  <c r="P4" i="7"/>
  <c r="P5" i="7"/>
  <c r="O4" i="7"/>
  <c r="O5" i="7"/>
  <c r="N4" i="7"/>
  <c r="N5" i="7"/>
  <c r="M4" i="7"/>
  <c r="M5" i="7"/>
  <c r="L4" i="7"/>
  <c r="L5" i="7"/>
  <c r="K4" i="7"/>
  <c r="K5" i="7"/>
  <c r="B22" i="3"/>
  <c r="L4" i="3"/>
  <c r="L5" i="3"/>
  <c r="M4" i="3"/>
  <c r="M5" i="3"/>
  <c r="N4" i="3"/>
  <c r="N5" i="3"/>
  <c r="O4" i="3"/>
  <c r="O5" i="3"/>
  <c r="P4" i="3"/>
  <c r="P5" i="3"/>
  <c r="Q4" i="3"/>
  <c r="Q5" i="3"/>
  <c r="R4" i="3"/>
  <c r="R5" i="3"/>
  <c r="S4" i="3"/>
  <c r="S5" i="3"/>
  <c r="T4" i="3"/>
  <c r="T5" i="3"/>
  <c r="U4" i="3"/>
  <c r="U5" i="3"/>
  <c r="V4" i="3"/>
  <c r="V5" i="3"/>
  <c r="W4" i="3"/>
  <c r="W5" i="3"/>
  <c r="X4" i="3"/>
  <c r="X5" i="3"/>
  <c r="Y4" i="3"/>
  <c r="Y5" i="3"/>
  <c r="Z4" i="3"/>
  <c r="Z5" i="3"/>
  <c r="AA4" i="3"/>
  <c r="AA5" i="3"/>
  <c r="AB4" i="3"/>
  <c r="AB5" i="3"/>
  <c r="AC4" i="3"/>
  <c r="AC5" i="3"/>
  <c r="AD4" i="3"/>
  <c r="AD5" i="3"/>
  <c r="AE4" i="3"/>
  <c r="AE5" i="3"/>
  <c r="AF4" i="3"/>
  <c r="AF5" i="3"/>
  <c r="AG4" i="3"/>
  <c r="AG5" i="3"/>
  <c r="AH4" i="3"/>
  <c r="AH5" i="3"/>
  <c r="AI4" i="3"/>
  <c r="AI5" i="3"/>
  <c r="K4" i="3"/>
  <c r="K16" i="6"/>
  <c r="J16" i="6"/>
  <c r="I16" i="6"/>
  <c r="F16" i="6"/>
  <c r="E16" i="6"/>
  <c r="D16" i="6"/>
  <c r="G19" i="3"/>
  <c r="K34" i="6"/>
  <c r="K28" i="6"/>
  <c r="K22" i="6"/>
  <c r="K10" i="6"/>
  <c r="B13" i="12"/>
  <c r="K7" i="12"/>
  <c r="I20" i="12"/>
  <c r="G20" i="12"/>
  <c r="H20" i="12"/>
  <c r="K12" i="12"/>
  <c r="K20" i="12"/>
  <c r="I19" i="12"/>
  <c r="G19" i="12"/>
  <c r="H19" i="12"/>
  <c r="K19" i="12"/>
  <c r="I18" i="12"/>
  <c r="G18" i="12"/>
  <c r="H18" i="12"/>
  <c r="K18" i="12"/>
  <c r="AI12" i="12"/>
  <c r="AI18" i="12"/>
  <c r="AH12" i="12"/>
  <c r="AH18" i="12"/>
  <c r="AG12" i="12"/>
  <c r="AG18" i="12"/>
  <c r="AF12" i="12"/>
  <c r="AF18" i="12"/>
  <c r="AE12" i="12"/>
  <c r="AE18" i="12"/>
  <c r="AD12" i="12"/>
  <c r="AD18" i="12"/>
  <c r="AC12" i="12"/>
  <c r="AC18" i="12"/>
  <c r="AB12" i="12"/>
  <c r="AB18" i="12"/>
  <c r="AA12" i="12"/>
  <c r="AA18" i="12"/>
  <c r="Z12" i="12"/>
  <c r="Z18" i="12"/>
  <c r="Y12" i="12"/>
  <c r="Y18" i="12"/>
  <c r="X12" i="12"/>
  <c r="X18" i="12"/>
  <c r="W12" i="12"/>
  <c r="W18" i="12"/>
  <c r="V12" i="12"/>
  <c r="V18" i="12"/>
  <c r="U12" i="12"/>
  <c r="U18" i="12"/>
  <c r="T12" i="12"/>
  <c r="T18" i="12"/>
  <c r="S12" i="12"/>
  <c r="S18" i="12"/>
  <c r="R12" i="12"/>
  <c r="R18" i="12"/>
  <c r="Q12" i="12"/>
  <c r="Q18" i="12"/>
  <c r="P12" i="12"/>
  <c r="P18" i="12"/>
  <c r="O12" i="12"/>
  <c r="O18" i="12"/>
  <c r="N12" i="12"/>
  <c r="N18" i="12"/>
  <c r="M12" i="12"/>
  <c r="M18" i="12"/>
  <c r="L12" i="12"/>
  <c r="L18" i="12"/>
  <c r="B6" i="12"/>
  <c r="B5" i="12"/>
  <c r="B4" i="12"/>
  <c r="Y14" i="12"/>
  <c r="Y20" i="12"/>
  <c r="Z20" i="12"/>
  <c r="AA20" i="12"/>
  <c r="AB20" i="12"/>
  <c r="AC20" i="12"/>
  <c r="AD20" i="12"/>
  <c r="AE20" i="12"/>
  <c r="AF20" i="12"/>
  <c r="AG20" i="12"/>
  <c r="AH20" i="12"/>
  <c r="AI20" i="12"/>
  <c r="X14" i="12"/>
  <c r="X20" i="12"/>
  <c r="W14" i="12"/>
  <c r="W20" i="12"/>
  <c r="V14" i="12"/>
  <c r="V20" i="12"/>
  <c r="U14" i="12"/>
  <c r="U20" i="12"/>
  <c r="T14" i="12"/>
  <c r="T20" i="12"/>
  <c r="S14" i="12"/>
  <c r="S20" i="12"/>
  <c r="R14" i="12"/>
  <c r="R20" i="12"/>
  <c r="Q14" i="12"/>
  <c r="Q20" i="12"/>
  <c r="P14" i="12"/>
  <c r="P20" i="12"/>
  <c r="O20" i="12"/>
  <c r="N20" i="12"/>
  <c r="M20" i="12"/>
  <c r="L20" i="12"/>
  <c r="Y13" i="12"/>
  <c r="Y19" i="12"/>
  <c r="Z19" i="12"/>
  <c r="AA19" i="12"/>
  <c r="AB19" i="12"/>
  <c r="AC19" i="12"/>
  <c r="AD19" i="12"/>
  <c r="AE19" i="12"/>
  <c r="AF19" i="12"/>
  <c r="AG19" i="12"/>
  <c r="AH19" i="12"/>
  <c r="AI19" i="12"/>
  <c r="X13" i="12"/>
  <c r="X19" i="12"/>
  <c r="W13" i="12"/>
  <c r="W19" i="12"/>
  <c r="V13" i="12"/>
  <c r="V19" i="12"/>
  <c r="U13" i="12"/>
  <c r="U19" i="12"/>
  <c r="T13" i="12"/>
  <c r="T19" i="12"/>
  <c r="S13" i="12"/>
  <c r="S19" i="12"/>
  <c r="R13" i="12"/>
  <c r="R19" i="12"/>
  <c r="Q13" i="12"/>
  <c r="Q19" i="12"/>
  <c r="P13" i="12"/>
  <c r="P19" i="12"/>
  <c r="O19" i="12"/>
  <c r="N19" i="12"/>
  <c r="M19" i="12"/>
  <c r="L19" i="12"/>
  <c r="AI14" i="12"/>
  <c r="AH14" i="12"/>
  <c r="AG14" i="12"/>
  <c r="AF14" i="12"/>
  <c r="AE14" i="12"/>
  <c r="AD14" i="12"/>
  <c r="AC14" i="12"/>
  <c r="AB14" i="12"/>
  <c r="AA14" i="12"/>
  <c r="Z14" i="12"/>
  <c r="O14" i="12"/>
  <c r="N14" i="12"/>
  <c r="M14" i="12"/>
  <c r="L14" i="12"/>
  <c r="K14" i="12"/>
  <c r="AI13" i="12"/>
  <c r="AH13" i="12"/>
  <c r="AG13" i="12"/>
  <c r="AF13" i="12"/>
  <c r="AE13" i="12"/>
  <c r="AD13" i="12"/>
  <c r="AC13" i="12"/>
  <c r="AB13" i="12"/>
  <c r="AA13" i="12"/>
  <c r="Z13" i="12"/>
  <c r="O13" i="12"/>
  <c r="N13" i="12"/>
  <c r="M13" i="12"/>
  <c r="L13" i="12"/>
  <c r="K13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B6" i="11"/>
  <c r="B5" i="11"/>
  <c r="B4" i="11"/>
  <c r="K7" i="11"/>
  <c r="I20" i="11"/>
  <c r="G20" i="11"/>
  <c r="H20" i="11"/>
  <c r="K12" i="11"/>
  <c r="K20" i="11"/>
  <c r="I19" i="11"/>
  <c r="G19" i="11"/>
  <c r="H19" i="11"/>
  <c r="K19" i="11"/>
  <c r="I18" i="11"/>
  <c r="G18" i="11"/>
  <c r="H18" i="11"/>
  <c r="K18" i="11"/>
  <c r="AI12" i="11"/>
  <c r="AI18" i="11"/>
  <c r="AH12" i="11"/>
  <c r="AH18" i="11"/>
  <c r="AG12" i="11"/>
  <c r="AG18" i="11"/>
  <c r="AF12" i="11"/>
  <c r="AF18" i="11"/>
  <c r="AE12" i="11"/>
  <c r="AE18" i="11"/>
  <c r="AD12" i="11"/>
  <c r="AD18" i="11"/>
  <c r="AC12" i="11"/>
  <c r="AC18" i="11"/>
  <c r="AB12" i="11"/>
  <c r="AB18" i="11"/>
  <c r="AA12" i="11"/>
  <c r="AA18" i="11"/>
  <c r="Z12" i="11"/>
  <c r="Z18" i="11"/>
  <c r="Y12" i="11"/>
  <c r="Y18" i="11"/>
  <c r="X12" i="11"/>
  <c r="X18" i="11"/>
  <c r="W12" i="11"/>
  <c r="W18" i="11"/>
  <c r="V12" i="11"/>
  <c r="V18" i="11"/>
  <c r="U12" i="11"/>
  <c r="U18" i="11"/>
  <c r="T12" i="11"/>
  <c r="T18" i="11"/>
  <c r="S12" i="11"/>
  <c r="S18" i="11"/>
  <c r="R12" i="11"/>
  <c r="R18" i="11"/>
  <c r="Q12" i="11"/>
  <c r="Q18" i="11"/>
  <c r="P12" i="11"/>
  <c r="P18" i="11"/>
  <c r="O12" i="11"/>
  <c r="O18" i="11"/>
  <c r="N12" i="11"/>
  <c r="N18" i="11"/>
  <c r="M12" i="11"/>
  <c r="M18" i="11"/>
  <c r="L12" i="11"/>
  <c r="L18" i="11"/>
  <c r="B13" i="11"/>
  <c r="Y14" i="11"/>
  <c r="Y20" i="11"/>
  <c r="Z20" i="11"/>
  <c r="AA20" i="11"/>
  <c r="AB20" i="11"/>
  <c r="AC20" i="11"/>
  <c r="AD20" i="11"/>
  <c r="AE20" i="11"/>
  <c r="AF20" i="11"/>
  <c r="AG20" i="11"/>
  <c r="AH20" i="11"/>
  <c r="AI20" i="11"/>
  <c r="X14" i="11"/>
  <c r="X20" i="11"/>
  <c r="W14" i="11"/>
  <c r="W20" i="11"/>
  <c r="V14" i="11"/>
  <c r="V20" i="11"/>
  <c r="U14" i="11"/>
  <c r="U20" i="11"/>
  <c r="T14" i="11"/>
  <c r="T20" i="11"/>
  <c r="S14" i="11"/>
  <c r="S20" i="11"/>
  <c r="R14" i="11"/>
  <c r="R20" i="11"/>
  <c r="Q14" i="11"/>
  <c r="Q20" i="11"/>
  <c r="P14" i="11"/>
  <c r="P20" i="11"/>
  <c r="O20" i="11"/>
  <c r="N20" i="11"/>
  <c r="M20" i="11"/>
  <c r="L20" i="11"/>
  <c r="Y13" i="11"/>
  <c r="Y19" i="11"/>
  <c r="Z19" i="11"/>
  <c r="AA19" i="11"/>
  <c r="AB19" i="11"/>
  <c r="AC19" i="11"/>
  <c r="AD19" i="11"/>
  <c r="AE19" i="11"/>
  <c r="AF19" i="11"/>
  <c r="AG19" i="11"/>
  <c r="AH19" i="11"/>
  <c r="AI19" i="11"/>
  <c r="X13" i="11"/>
  <c r="X19" i="11"/>
  <c r="W13" i="11"/>
  <c r="W19" i="11"/>
  <c r="V13" i="11"/>
  <c r="V19" i="11"/>
  <c r="U13" i="11"/>
  <c r="U19" i="11"/>
  <c r="T13" i="11"/>
  <c r="T19" i="11"/>
  <c r="S13" i="11"/>
  <c r="S19" i="11"/>
  <c r="R13" i="11"/>
  <c r="R19" i="11"/>
  <c r="Q13" i="11"/>
  <c r="Q19" i="11"/>
  <c r="P13" i="11"/>
  <c r="P19" i="11"/>
  <c r="O19" i="11"/>
  <c r="N19" i="11"/>
  <c r="M19" i="11"/>
  <c r="L19" i="11"/>
  <c r="AI14" i="11"/>
  <c r="AH14" i="11"/>
  <c r="AG14" i="11"/>
  <c r="AF14" i="11"/>
  <c r="AE14" i="11"/>
  <c r="AD14" i="11"/>
  <c r="AC14" i="11"/>
  <c r="AB14" i="11"/>
  <c r="AA14" i="11"/>
  <c r="Z14" i="11"/>
  <c r="O14" i="11"/>
  <c r="N14" i="11"/>
  <c r="M14" i="11"/>
  <c r="L14" i="11"/>
  <c r="K14" i="11"/>
  <c r="AI13" i="11"/>
  <c r="AH13" i="11"/>
  <c r="AG13" i="11"/>
  <c r="AF13" i="11"/>
  <c r="AE13" i="11"/>
  <c r="AD13" i="11"/>
  <c r="AC13" i="11"/>
  <c r="AB13" i="11"/>
  <c r="AA13" i="11"/>
  <c r="Z13" i="11"/>
  <c r="O13" i="11"/>
  <c r="N13" i="11"/>
  <c r="M13" i="11"/>
  <c r="L13" i="11"/>
  <c r="K13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34" i="6"/>
  <c r="J28" i="6"/>
  <c r="J22" i="6"/>
  <c r="J10" i="6"/>
  <c r="I34" i="6"/>
  <c r="I28" i="6"/>
  <c r="I22" i="6"/>
  <c r="I10" i="6"/>
  <c r="B6" i="10"/>
  <c r="B5" i="10"/>
  <c r="B4" i="10"/>
  <c r="K7" i="10"/>
  <c r="I20" i="10"/>
  <c r="G20" i="10"/>
  <c r="H20" i="10"/>
  <c r="K12" i="10"/>
  <c r="K20" i="10"/>
  <c r="G19" i="10"/>
  <c r="H19" i="10"/>
  <c r="K19" i="10"/>
  <c r="I18" i="10"/>
  <c r="G18" i="10"/>
  <c r="H18" i="10"/>
  <c r="K18" i="10"/>
  <c r="AI12" i="10"/>
  <c r="AI18" i="10"/>
  <c r="AH12" i="10"/>
  <c r="AH18" i="10"/>
  <c r="AG12" i="10"/>
  <c r="AG18" i="10"/>
  <c r="AF12" i="10"/>
  <c r="AF18" i="10"/>
  <c r="AE12" i="10"/>
  <c r="AE18" i="10"/>
  <c r="AD12" i="10"/>
  <c r="AD18" i="10"/>
  <c r="AC12" i="10"/>
  <c r="AC18" i="10"/>
  <c r="AB12" i="10"/>
  <c r="AB18" i="10"/>
  <c r="AA12" i="10"/>
  <c r="AA18" i="10"/>
  <c r="Z12" i="10"/>
  <c r="Z18" i="10"/>
  <c r="Y12" i="10"/>
  <c r="Y18" i="10"/>
  <c r="X12" i="10"/>
  <c r="X18" i="10"/>
  <c r="W12" i="10"/>
  <c r="W18" i="10"/>
  <c r="V12" i="10"/>
  <c r="V18" i="10"/>
  <c r="U12" i="10"/>
  <c r="U18" i="10"/>
  <c r="T12" i="10"/>
  <c r="T18" i="10"/>
  <c r="S12" i="10"/>
  <c r="S18" i="10"/>
  <c r="R12" i="10"/>
  <c r="R18" i="10"/>
  <c r="Q12" i="10"/>
  <c r="Q18" i="10"/>
  <c r="P12" i="10"/>
  <c r="P18" i="10"/>
  <c r="O12" i="10"/>
  <c r="O18" i="10"/>
  <c r="N12" i="10"/>
  <c r="N18" i="10"/>
  <c r="M12" i="10"/>
  <c r="M18" i="10"/>
  <c r="L12" i="10"/>
  <c r="L18" i="10"/>
  <c r="B13" i="10"/>
  <c r="Y14" i="10"/>
  <c r="Y20" i="10"/>
  <c r="Z20" i="10"/>
  <c r="AA20" i="10"/>
  <c r="AB20" i="10"/>
  <c r="AC20" i="10"/>
  <c r="AD20" i="10"/>
  <c r="AE20" i="10"/>
  <c r="AF20" i="10"/>
  <c r="AG20" i="10"/>
  <c r="AH20" i="10"/>
  <c r="AI20" i="10"/>
  <c r="X14" i="10"/>
  <c r="X20" i="10"/>
  <c r="W14" i="10"/>
  <c r="W20" i="10"/>
  <c r="V14" i="10"/>
  <c r="V20" i="10"/>
  <c r="U14" i="10"/>
  <c r="U20" i="10"/>
  <c r="T14" i="10"/>
  <c r="T20" i="10"/>
  <c r="S14" i="10"/>
  <c r="S20" i="10"/>
  <c r="R14" i="10"/>
  <c r="R20" i="10"/>
  <c r="Q14" i="10"/>
  <c r="Q20" i="10"/>
  <c r="P14" i="10"/>
  <c r="P20" i="10"/>
  <c r="O20" i="10"/>
  <c r="N20" i="10"/>
  <c r="M20" i="10"/>
  <c r="L20" i="10"/>
  <c r="Y13" i="10"/>
  <c r="Y19" i="10"/>
  <c r="Z19" i="10"/>
  <c r="AA19" i="10"/>
  <c r="AB19" i="10"/>
  <c r="AC19" i="10"/>
  <c r="AD19" i="10"/>
  <c r="AE19" i="10"/>
  <c r="AF19" i="10"/>
  <c r="AG19" i="10"/>
  <c r="AH19" i="10"/>
  <c r="AI19" i="10"/>
  <c r="X13" i="10"/>
  <c r="X19" i="10"/>
  <c r="W13" i="10"/>
  <c r="W19" i="10"/>
  <c r="V13" i="10"/>
  <c r="V19" i="10"/>
  <c r="U13" i="10"/>
  <c r="U19" i="10"/>
  <c r="T13" i="10"/>
  <c r="T19" i="10"/>
  <c r="S13" i="10"/>
  <c r="S19" i="10"/>
  <c r="R13" i="10"/>
  <c r="R19" i="10"/>
  <c r="Q13" i="10"/>
  <c r="Q19" i="10"/>
  <c r="P13" i="10"/>
  <c r="P19" i="10"/>
  <c r="O19" i="10"/>
  <c r="N19" i="10"/>
  <c r="M19" i="10"/>
  <c r="L19" i="10"/>
  <c r="AI14" i="10"/>
  <c r="AH14" i="10"/>
  <c r="AG14" i="10"/>
  <c r="AF14" i="10"/>
  <c r="AE14" i="10"/>
  <c r="AD14" i="10"/>
  <c r="AC14" i="10"/>
  <c r="AB14" i="10"/>
  <c r="AA14" i="10"/>
  <c r="Z14" i="10"/>
  <c r="O14" i="10"/>
  <c r="N14" i="10"/>
  <c r="M14" i="10"/>
  <c r="L14" i="10"/>
  <c r="K14" i="10"/>
  <c r="AI13" i="10"/>
  <c r="AH13" i="10"/>
  <c r="AG13" i="10"/>
  <c r="AF13" i="10"/>
  <c r="AE13" i="10"/>
  <c r="AD13" i="10"/>
  <c r="AC13" i="10"/>
  <c r="AB13" i="10"/>
  <c r="AA13" i="10"/>
  <c r="Z13" i="10"/>
  <c r="O13" i="10"/>
  <c r="N13" i="10"/>
  <c r="M13" i="10"/>
  <c r="L13" i="10"/>
  <c r="K13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E34" i="6"/>
  <c r="E28" i="6"/>
  <c r="E22" i="6"/>
  <c r="E10" i="6"/>
  <c r="D34" i="6"/>
  <c r="D28" i="6"/>
  <c r="D22" i="6"/>
  <c r="D10" i="6"/>
  <c r="F34" i="6"/>
  <c r="F28" i="6"/>
  <c r="F22" i="6"/>
  <c r="F10" i="6"/>
  <c r="B6" i="9"/>
  <c r="B5" i="9"/>
  <c r="B4" i="9"/>
  <c r="K7" i="9"/>
  <c r="I20" i="9"/>
  <c r="G20" i="9"/>
  <c r="H20" i="9"/>
  <c r="K12" i="9"/>
  <c r="K20" i="9"/>
  <c r="I19" i="9"/>
  <c r="G19" i="9"/>
  <c r="H19" i="9"/>
  <c r="K19" i="9"/>
  <c r="I18" i="9"/>
  <c r="G18" i="9"/>
  <c r="H18" i="9"/>
  <c r="K18" i="9"/>
  <c r="AI12" i="9"/>
  <c r="AI18" i="9"/>
  <c r="AH12" i="9"/>
  <c r="AH18" i="9"/>
  <c r="AG12" i="9"/>
  <c r="AG18" i="9"/>
  <c r="AF12" i="9"/>
  <c r="AF18" i="9"/>
  <c r="AE12" i="9"/>
  <c r="AE18" i="9"/>
  <c r="AD12" i="9"/>
  <c r="AD18" i="9"/>
  <c r="AC12" i="9"/>
  <c r="AC18" i="9"/>
  <c r="AB12" i="9"/>
  <c r="AB18" i="9"/>
  <c r="AA12" i="9"/>
  <c r="AA18" i="9"/>
  <c r="Z12" i="9"/>
  <c r="Z18" i="9"/>
  <c r="Y12" i="9"/>
  <c r="Y18" i="9"/>
  <c r="X12" i="9"/>
  <c r="X18" i="9"/>
  <c r="W12" i="9"/>
  <c r="W18" i="9"/>
  <c r="V12" i="9"/>
  <c r="V18" i="9"/>
  <c r="U12" i="9"/>
  <c r="U18" i="9"/>
  <c r="T12" i="9"/>
  <c r="T18" i="9"/>
  <c r="S12" i="9"/>
  <c r="S18" i="9"/>
  <c r="R12" i="9"/>
  <c r="R18" i="9"/>
  <c r="Q12" i="9"/>
  <c r="Q18" i="9"/>
  <c r="P12" i="9"/>
  <c r="P18" i="9"/>
  <c r="O12" i="9"/>
  <c r="O18" i="9"/>
  <c r="N12" i="9"/>
  <c r="N18" i="9"/>
  <c r="M12" i="9"/>
  <c r="M18" i="9"/>
  <c r="L12" i="9"/>
  <c r="L18" i="9"/>
  <c r="B13" i="9"/>
  <c r="Y14" i="9"/>
  <c r="Y20" i="9"/>
  <c r="Z20" i="9"/>
  <c r="AA20" i="9"/>
  <c r="AB20" i="9"/>
  <c r="AC20" i="9"/>
  <c r="AD20" i="9"/>
  <c r="AE20" i="9"/>
  <c r="AF20" i="9"/>
  <c r="AG20" i="9"/>
  <c r="AH20" i="9"/>
  <c r="AI20" i="9"/>
  <c r="X14" i="9"/>
  <c r="X20" i="9"/>
  <c r="W14" i="9"/>
  <c r="W20" i="9"/>
  <c r="V14" i="9"/>
  <c r="V20" i="9"/>
  <c r="U14" i="9"/>
  <c r="U20" i="9"/>
  <c r="T14" i="9"/>
  <c r="T20" i="9"/>
  <c r="S14" i="9"/>
  <c r="S20" i="9"/>
  <c r="R14" i="9"/>
  <c r="R20" i="9"/>
  <c r="Q14" i="9"/>
  <c r="Q20" i="9"/>
  <c r="P14" i="9"/>
  <c r="P20" i="9"/>
  <c r="O20" i="9"/>
  <c r="N20" i="9"/>
  <c r="M20" i="9"/>
  <c r="L20" i="9"/>
  <c r="Y13" i="9"/>
  <c r="Y19" i="9"/>
  <c r="Z19" i="9"/>
  <c r="AA19" i="9"/>
  <c r="AB19" i="9"/>
  <c r="AC19" i="9"/>
  <c r="AD19" i="9"/>
  <c r="AE19" i="9"/>
  <c r="AF19" i="9"/>
  <c r="AG19" i="9"/>
  <c r="AH19" i="9"/>
  <c r="AI19" i="9"/>
  <c r="X13" i="9"/>
  <c r="X19" i="9"/>
  <c r="W13" i="9"/>
  <c r="W19" i="9"/>
  <c r="V13" i="9"/>
  <c r="V19" i="9"/>
  <c r="U13" i="9"/>
  <c r="U19" i="9"/>
  <c r="T13" i="9"/>
  <c r="T19" i="9"/>
  <c r="S13" i="9"/>
  <c r="S19" i="9"/>
  <c r="R13" i="9"/>
  <c r="R19" i="9"/>
  <c r="Q13" i="9"/>
  <c r="Q19" i="9"/>
  <c r="P13" i="9"/>
  <c r="P19" i="9"/>
  <c r="O19" i="9"/>
  <c r="N19" i="9"/>
  <c r="M19" i="9"/>
  <c r="L19" i="9"/>
  <c r="AI14" i="9"/>
  <c r="AH14" i="9"/>
  <c r="AG14" i="9"/>
  <c r="AF14" i="9"/>
  <c r="AE14" i="9"/>
  <c r="AD14" i="9"/>
  <c r="AC14" i="9"/>
  <c r="AB14" i="9"/>
  <c r="AA14" i="9"/>
  <c r="Z14" i="9"/>
  <c r="O14" i="9"/>
  <c r="N14" i="9"/>
  <c r="M14" i="9"/>
  <c r="L14" i="9"/>
  <c r="K14" i="9"/>
  <c r="AI13" i="9"/>
  <c r="AH13" i="9"/>
  <c r="AG13" i="9"/>
  <c r="AF13" i="9"/>
  <c r="AE13" i="9"/>
  <c r="AD13" i="9"/>
  <c r="AC13" i="9"/>
  <c r="AB13" i="9"/>
  <c r="AA13" i="9"/>
  <c r="Z13" i="9"/>
  <c r="O13" i="9"/>
  <c r="N13" i="9"/>
  <c r="M13" i="9"/>
  <c r="L13" i="9"/>
  <c r="K13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B6" i="8"/>
  <c r="B5" i="8"/>
  <c r="B4" i="8"/>
  <c r="K7" i="8"/>
  <c r="I20" i="8"/>
  <c r="G20" i="8"/>
  <c r="H20" i="8"/>
  <c r="K12" i="8"/>
  <c r="K20" i="8"/>
  <c r="I19" i="8"/>
  <c r="G19" i="8"/>
  <c r="H19" i="8"/>
  <c r="K19" i="8"/>
  <c r="I18" i="8"/>
  <c r="G18" i="8"/>
  <c r="H18" i="8"/>
  <c r="K18" i="8"/>
  <c r="AI12" i="8"/>
  <c r="AI18" i="8"/>
  <c r="AH12" i="8"/>
  <c r="AH18" i="8"/>
  <c r="AG12" i="8"/>
  <c r="AG18" i="8"/>
  <c r="AF12" i="8"/>
  <c r="AF18" i="8"/>
  <c r="AE12" i="8"/>
  <c r="AE18" i="8"/>
  <c r="AD12" i="8"/>
  <c r="AD18" i="8"/>
  <c r="AC12" i="8"/>
  <c r="AC18" i="8"/>
  <c r="AB12" i="8"/>
  <c r="AB18" i="8"/>
  <c r="AA12" i="8"/>
  <c r="AA18" i="8"/>
  <c r="Z12" i="8"/>
  <c r="Z18" i="8"/>
  <c r="Y12" i="8"/>
  <c r="Y18" i="8"/>
  <c r="X12" i="8"/>
  <c r="X18" i="8"/>
  <c r="W12" i="8"/>
  <c r="W18" i="8"/>
  <c r="V12" i="8"/>
  <c r="V18" i="8"/>
  <c r="U12" i="8"/>
  <c r="U18" i="8"/>
  <c r="T12" i="8"/>
  <c r="T18" i="8"/>
  <c r="S12" i="8"/>
  <c r="S18" i="8"/>
  <c r="R12" i="8"/>
  <c r="R18" i="8"/>
  <c r="Q12" i="8"/>
  <c r="Q18" i="8"/>
  <c r="P12" i="8"/>
  <c r="P18" i="8"/>
  <c r="O12" i="8"/>
  <c r="O18" i="8"/>
  <c r="N12" i="8"/>
  <c r="N18" i="8"/>
  <c r="M12" i="8"/>
  <c r="M18" i="8"/>
  <c r="L12" i="8"/>
  <c r="L18" i="8"/>
  <c r="B13" i="8"/>
  <c r="Y14" i="8"/>
  <c r="Y20" i="8"/>
  <c r="Z20" i="8"/>
  <c r="AA20" i="8"/>
  <c r="AB20" i="8"/>
  <c r="AC20" i="8"/>
  <c r="AD20" i="8"/>
  <c r="AE20" i="8"/>
  <c r="AF20" i="8"/>
  <c r="AG20" i="8"/>
  <c r="AH20" i="8"/>
  <c r="AI20" i="8"/>
  <c r="X14" i="8"/>
  <c r="X20" i="8"/>
  <c r="W14" i="8"/>
  <c r="W20" i="8"/>
  <c r="V14" i="8"/>
  <c r="V20" i="8"/>
  <c r="U14" i="8"/>
  <c r="U20" i="8"/>
  <c r="T14" i="8"/>
  <c r="T20" i="8"/>
  <c r="S14" i="8"/>
  <c r="S20" i="8"/>
  <c r="R14" i="8"/>
  <c r="R20" i="8"/>
  <c r="Q14" i="8"/>
  <c r="Q20" i="8"/>
  <c r="P14" i="8"/>
  <c r="P20" i="8"/>
  <c r="O20" i="8"/>
  <c r="N20" i="8"/>
  <c r="M20" i="8"/>
  <c r="L20" i="8"/>
  <c r="Y13" i="8"/>
  <c r="Y19" i="8"/>
  <c r="Z19" i="8"/>
  <c r="AA19" i="8"/>
  <c r="AB19" i="8"/>
  <c r="AC19" i="8"/>
  <c r="AD19" i="8"/>
  <c r="AE19" i="8"/>
  <c r="AF19" i="8"/>
  <c r="AG19" i="8"/>
  <c r="AH19" i="8"/>
  <c r="AI19" i="8"/>
  <c r="X13" i="8"/>
  <c r="X19" i="8"/>
  <c r="W13" i="8"/>
  <c r="W19" i="8"/>
  <c r="V13" i="8"/>
  <c r="V19" i="8"/>
  <c r="U13" i="8"/>
  <c r="U19" i="8"/>
  <c r="T13" i="8"/>
  <c r="T19" i="8"/>
  <c r="S13" i="8"/>
  <c r="S19" i="8"/>
  <c r="R13" i="8"/>
  <c r="R19" i="8"/>
  <c r="Q13" i="8"/>
  <c r="Q19" i="8"/>
  <c r="P13" i="8"/>
  <c r="P19" i="8"/>
  <c r="O19" i="8"/>
  <c r="N19" i="8"/>
  <c r="M19" i="8"/>
  <c r="L19" i="8"/>
  <c r="AI14" i="8"/>
  <c r="AH14" i="8"/>
  <c r="AG14" i="8"/>
  <c r="AF14" i="8"/>
  <c r="AE14" i="8"/>
  <c r="AD14" i="8"/>
  <c r="AC14" i="8"/>
  <c r="AB14" i="8"/>
  <c r="AA14" i="8"/>
  <c r="Z14" i="8"/>
  <c r="O14" i="8"/>
  <c r="N14" i="8"/>
  <c r="M14" i="8"/>
  <c r="L14" i="8"/>
  <c r="K14" i="8"/>
  <c r="AI13" i="8"/>
  <c r="AH13" i="8"/>
  <c r="AG13" i="8"/>
  <c r="AF13" i="8"/>
  <c r="AE13" i="8"/>
  <c r="AD13" i="8"/>
  <c r="AC13" i="8"/>
  <c r="AB13" i="8"/>
  <c r="AA13" i="8"/>
  <c r="Z13" i="8"/>
  <c r="O13" i="8"/>
  <c r="N13" i="8"/>
  <c r="M13" i="8"/>
  <c r="L13" i="8"/>
  <c r="K13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B6" i="7"/>
  <c r="B5" i="7"/>
  <c r="B4" i="7"/>
  <c r="K7" i="7"/>
  <c r="I20" i="7"/>
  <c r="G20" i="7"/>
  <c r="H20" i="7"/>
  <c r="K12" i="7"/>
  <c r="K20" i="7"/>
  <c r="G19" i="7"/>
  <c r="H19" i="7"/>
  <c r="K19" i="7"/>
  <c r="I18" i="7"/>
  <c r="G18" i="7"/>
  <c r="H18" i="7"/>
  <c r="K18" i="7"/>
  <c r="AI12" i="7"/>
  <c r="AI18" i="7"/>
  <c r="AH12" i="7"/>
  <c r="AH18" i="7"/>
  <c r="AG12" i="7"/>
  <c r="AG18" i="7"/>
  <c r="AF12" i="7"/>
  <c r="AF18" i="7"/>
  <c r="AE12" i="7"/>
  <c r="AE18" i="7"/>
  <c r="AD12" i="7"/>
  <c r="AD18" i="7"/>
  <c r="AC12" i="7"/>
  <c r="AC18" i="7"/>
  <c r="AB12" i="7"/>
  <c r="AB18" i="7"/>
  <c r="AA12" i="7"/>
  <c r="AA18" i="7"/>
  <c r="Z12" i="7"/>
  <c r="Z18" i="7"/>
  <c r="Y12" i="7"/>
  <c r="Y18" i="7"/>
  <c r="X12" i="7"/>
  <c r="X18" i="7"/>
  <c r="W12" i="7"/>
  <c r="W18" i="7"/>
  <c r="V12" i="7"/>
  <c r="V18" i="7"/>
  <c r="U12" i="7"/>
  <c r="U18" i="7"/>
  <c r="T12" i="7"/>
  <c r="T18" i="7"/>
  <c r="S12" i="7"/>
  <c r="S18" i="7"/>
  <c r="R12" i="7"/>
  <c r="R18" i="7"/>
  <c r="Q12" i="7"/>
  <c r="Q18" i="7"/>
  <c r="P12" i="7"/>
  <c r="P18" i="7"/>
  <c r="O12" i="7"/>
  <c r="O18" i="7"/>
  <c r="N12" i="7"/>
  <c r="N18" i="7"/>
  <c r="M12" i="7"/>
  <c r="M18" i="7"/>
  <c r="L12" i="7"/>
  <c r="L18" i="7"/>
  <c r="Y14" i="7"/>
  <c r="Y20" i="7"/>
  <c r="Z20" i="7"/>
  <c r="AA20" i="7"/>
  <c r="AB20" i="7"/>
  <c r="AC20" i="7"/>
  <c r="AD20" i="7"/>
  <c r="AE20" i="7"/>
  <c r="AF20" i="7"/>
  <c r="AG20" i="7"/>
  <c r="AH20" i="7"/>
  <c r="AI20" i="7"/>
  <c r="X14" i="7"/>
  <c r="X20" i="7"/>
  <c r="W14" i="7"/>
  <c r="W20" i="7"/>
  <c r="V14" i="7"/>
  <c r="V20" i="7"/>
  <c r="U14" i="7"/>
  <c r="U20" i="7"/>
  <c r="T14" i="7"/>
  <c r="T20" i="7"/>
  <c r="S14" i="7"/>
  <c r="S20" i="7"/>
  <c r="R14" i="7"/>
  <c r="R20" i="7"/>
  <c r="Q14" i="7"/>
  <c r="Q20" i="7"/>
  <c r="P14" i="7"/>
  <c r="P20" i="7"/>
  <c r="O20" i="7"/>
  <c r="N20" i="7"/>
  <c r="M20" i="7"/>
  <c r="L20" i="7"/>
  <c r="B13" i="7"/>
  <c r="Y13" i="7"/>
  <c r="Y19" i="7"/>
  <c r="Z19" i="7"/>
  <c r="AA19" i="7"/>
  <c r="AB19" i="7"/>
  <c r="AC19" i="7"/>
  <c r="AD19" i="7"/>
  <c r="AE19" i="7"/>
  <c r="AF19" i="7"/>
  <c r="AG19" i="7"/>
  <c r="AH19" i="7"/>
  <c r="AI19" i="7"/>
  <c r="X13" i="7"/>
  <c r="X19" i="7"/>
  <c r="W13" i="7"/>
  <c r="W19" i="7"/>
  <c r="V13" i="7"/>
  <c r="V19" i="7"/>
  <c r="U13" i="7"/>
  <c r="U19" i="7"/>
  <c r="T13" i="7"/>
  <c r="T19" i="7"/>
  <c r="S13" i="7"/>
  <c r="S19" i="7"/>
  <c r="R13" i="7"/>
  <c r="R19" i="7"/>
  <c r="Q13" i="7"/>
  <c r="Q19" i="7"/>
  <c r="P13" i="7"/>
  <c r="P19" i="7"/>
  <c r="O19" i="7"/>
  <c r="N19" i="7"/>
  <c r="M19" i="7"/>
  <c r="L19" i="7"/>
  <c r="AI14" i="7"/>
  <c r="AH14" i="7"/>
  <c r="AG14" i="7"/>
  <c r="AF14" i="7"/>
  <c r="AE14" i="7"/>
  <c r="AD14" i="7"/>
  <c r="AC14" i="7"/>
  <c r="AB14" i="7"/>
  <c r="AA14" i="7"/>
  <c r="Z14" i="7"/>
  <c r="O14" i="7"/>
  <c r="N14" i="7"/>
  <c r="M14" i="7"/>
  <c r="L14" i="7"/>
  <c r="K14" i="7"/>
  <c r="AI13" i="7"/>
  <c r="AH13" i="7"/>
  <c r="AG13" i="7"/>
  <c r="AF13" i="7"/>
  <c r="AE13" i="7"/>
  <c r="AD13" i="7"/>
  <c r="AC13" i="7"/>
  <c r="AB13" i="7"/>
  <c r="AA13" i="7"/>
  <c r="Z13" i="7"/>
  <c r="O13" i="7"/>
  <c r="N13" i="7"/>
  <c r="M13" i="7"/>
  <c r="L13" i="7"/>
  <c r="K13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Y13" i="3"/>
  <c r="I19" i="3"/>
  <c r="H19" i="3"/>
  <c r="Y19" i="3"/>
  <c r="Z19" i="3"/>
  <c r="AA19" i="3"/>
  <c r="AB19" i="3"/>
  <c r="AC19" i="3"/>
  <c r="AD19" i="3"/>
  <c r="AE19" i="3"/>
  <c r="AF19" i="3"/>
  <c r="AG19" i="3"/>
  <c r="AH19" i="3"/>
  <c r="AI19" i="3"/>
  <c r="Y14" i="3"/>
  <c r="I20" i="3"/>
  <c r="G20" i="3"/>
  <c r="H20" i="3"/>
  <c r="Y20" i="3"/>
  <c r="Z20" i="3"/>
  <c r="AA20" i="3"/>
  <c r="AB20" i="3"/>
  <c r="AC20" i="3"/>
  <c r="AD20" i="3"/>
  <c r="AE20" i="3"/>
  <c r="AF20" i="3"/>
  <c r="AG20" i="3"/>
  <c r="AH20" i="3"/>
  <c r="AI20" i="3"/>
  <c r="B5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D3" i="5"/>
  <c r="B13" i="3"/>
  <c r="K12" i="3"/>
  <c r="I18" i="3"/>
  <c r="G18" i="3"/>
  <c r="H18" i="3"/>
  <c r="K18" i="3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E11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F10" i="4"/>
  <c r="G10" i="4"/>
  <c r="H10" i="4"/>
  <c r="I10" i="4"/>
  <c r="J10" i="4"/>
  <c r="K10" i="4"/>
  <c r="L10" i="4"/>
  <c r="M10" i="4"/>
  <c r="N10" i="4"/>
  <c r="O10" i="4"/>
  <c r="P10" i="4"/>
  <c r="Q10" i="4"/>
  <c r="E10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E9" i="4"/>
  <c r="K12" i="1"/>
  <c r="K18" i="1"/>
  <c r="B6" i="3"/>
  <c r="B5" i="3"/>
  <c r="K7" i="3"/>
  <c r="K20" i="3"/>
  <c r="K19" i="3"/>
  <c r="AI12" i="3"/>
  <c r="AI18" i="3"/>
  <c r="AH12" i="3"/>
  <c r="AH18" i="3"/>
  <c r="AG12" i="3"/>
  <c r="AG18" i="3"/>
  <c r="AF12" i="3"/>
  <c r="AF18" i="3"/>
  <c r="AE12" i="3"/>
  <c r="AE18" i="3"/>
  <c r="AD12" i="3"/>
  <c r="AD18" i="3"/>
  <c r="AC12" i="3"/>
  <c r="AC18" i="3"/>
  <c r="AB12" i="3"/>
  <c r="AB18" i="3"/>
  <c r="AA12" i="3"/>
  <c r="AA18" i="3"/>
  <c r="Z12" i="3"/>
  <c r="Z18" i="3"/>
  <c r="Y12" i="3"/>
  <c r="Y18" i="3"/>
  <c r="X12" i="3"/>
  <c r="X18" i="3"/>
  <c r="W12" i="3"/>
  <c r="W18" i="3"/>
  <c r="V12" i="3"/>
  <c r="V18" i="3"/>
  <c r="U12" i="3"/>
  <c r="U18" i="3"/>
  <c r="T12" i="3"/>
  <c r="T18" i="3"/>
  <c r="S12" i="3"/>
  <c r="S18" i="3"/>
  <c r="R12" i="3"/>
  <c r="R18" i="3"/>
  <c r="Q12" i="3"/>
  <c r="Q18" i="3"/>
  <c r="P12" i="3"/>
  <c r="P18" i="3"/>
  <c r="O12" i="3"/>
  <c r="O18" i="3"/>
  <c r="N12" i="3"/>
  <c r="N18" i="3"/>
  <c r="M12" i="3"/>
  <c r="M18" i="3"/>
  <c r="L12" i="3"/>
  <c r="L18" i="3"/>
  <c r="AI14" i="3"/>
  <c r="AH14" i="3"/>
  <c r="AG14" i="3"/>
  <c r="AF14" i="3"/>
  <c r="AE14" i="3"/>
  <c r="AD14" i="3"/>
  <c r="AC14" i="3"/>
  <c r="AB14" i="3"/>
  <c r="AA14" i="3"/>
  <c r="Z14" i="3"/>
  <c r="X14" i="3"/>
  <c r="X20" i="3"/>
  <c r="W14" i="3"/>
  <c r="W20" i="3"/>
  <c r="V14" i="3"/>
  <c r="V20" i="3"/>
  <c r="U14" i="3"/>
  <c r="U20" i="3"/>
  <c r="T14" i="3"/>
  <c r="T20" i="3"/>
  <c r="S14" i="3"/>
  <c r="S20" i="3"/>
  <c r="R14" i="3"/>
  <c r="R20" i="3"/>
  <c r="Q14" i="3"/>
  <c r="Q20" i="3"/>
  <c r="P14" i="3"/>
  <c r="P20" i="3"/>
  <c r="O20" i="3"/>
  <c r="N20" i="3"/>
  <c r="M20" i="3"/>
  <c r="L20" i="3"/>
  <c r="AI13" i="3"/>
  <c r="AH13" i="3"/>
  <c r="AG13" i="3"/>
  <c r="AF13" i="3"/>
  <c r="AE13" i="3"/>
  <c r="AD13" i="3"/>
  <c r="AC13" i="3"/>
  <c r="AB13" i="3"/>
  <c r="AA13" i="3"/>
  <c r="Z13" i="3"/>
  <c r="X13" i="3"/>
  <c r="X19" i="3"/>
  <c r="W13" i="3"/>
  <c r="W19" i="3"/>
  <c r="V13" i="3"/>
  <c r="V19" i="3"/>
  <c r="U13" i="3"/>
  <c r="U19" i="3"/>
  <c r="T13" i="3"/>
  <c r="T19" i="3"/>
  <c r="S13" i="3"/>
  <c r="S19" i="3"/>
  <c r="R13" i="3"/>
  <c r="R19" i="3"/>
  <c r="Q13" i="3"/>
  <c r="Q19" i="3"/>
  <c r="P13" i="3"/>
  <c r="P19" i="3"/>
  <c r="O19" i="3"/>
  <c r="N19" i="3"/>
  <c r="M19" i="3"/>
  <c r="L19" i="3"/>
  <c r="O14" i="3"/>
  <c r="N14" i="3"/>
  <c r="M14" i="3"/>
  <c r="L14" i="3"/>
  <c r="K14" i="3"/>
  <c r="O13" i="3"/>
  <c r="N13" i="3"/>
  <c r="M13" i="3"/>
  <c r="L13" i="3"/>
  <c r="K13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B30" i="1"/>
  <c r="K6" i="1"/>
  <c r="K19" i="1"/>
  <c r="K20" i="1"/>
  <c r="K8" i="1"/>
  <c r="K7" i="1"/>
  <c r="L7" i="1"/>
  <c r="L19" i="1"/>
  <c r="L12" i="1"/>
  <c r="L18" i="1"/>
  <c r="L20" i="1"/>
  <c r="L8" i="1"/>
  <c r="M7" i="1"/>
  <c r="M19" i="1"/>
  <c r="M12" i="1"/>
  <c r="M18" i="1"/>
  <c r="M20" i="1"/>
  <c r="M8" i="1"/>
  <c r="N7" i="1"/>
  <c r="N19" i="1"/>
  <c r="N12" i="1"/>
  <c r="N18" i="1"/>
  <c r="N20" i="1"/>
  <c r="N8" i="1"/>
  <c r="O7" i="1"/>
  <c r="O19" i="1"/>
  <c r="O12" i="1"/>
  <c r="O18" i="1"/>
  <c r="O20" i="1"/>
  <c r="O8" i="1"/>
  <c r="P7" i="1"/>
  <c r="P19" i="1"/>
  <c r="P12" i="1"/>
  <c r="P18" i="1"/>
  <c r="P20" i="1"/>
  <c r="P8" i="1"/>
  <c r="Q7" i="1"/>
  <c r="Q19" i="1"/>
  <c r="Q12" i="1"/>
  <c r="Q18" i="1"/>
  <c r="Q20" i="1"/>
  <c r="Q8" i="1"/>
  <c r="R7" i="1"/>
  <c r="R19" i="1"/>
  <c r="R12" i="1"/>
  <c r="R18" i="1"/>
  <c r="R20" i="1"/>
  <c r="R8" i="1"/>
  <c r="S7" i="1"/>
  <c r="S19" i="1"/>
  <c r="S12" i="1"/>
  <c r="S18" i="1"/>
  <c r="S20" i="1"/>
  <c r="S8" i="1"/>
  <c r="T7" i="1"/>
  <c r="T19" i="1"/>
  <c r="T12" i="1"/>
  <c r="T18" i="1"/>
  <c r="T20" i="1"/>
  <c r="T8" i="1"/>
  <c r="U7" i="1"/>
  <c r="U19" i="1"/>
  <c r="U12" i="1"/>
  <c r="U18" i="1"/>
  <c r="U20" i="1"/>
  <c r="U8" i="1"/>
  <c r="V7" i="1"/>
  <c r="V19" i="1"/>
  <c r="V12" i="1"/>
  <c r="V18" i="1"/>
  <c r="V20" i="1"/>
  <c r="V8" i="1"/>
  <c r="W7" i="1"/>
  <c r="W19" i="1"/>
  <c r="W12" i="1"/>
  <c r="W18" i="1"/>
  <c r="W20" i="1"/>
  <c r="W8" i="1"/>
  <c r="X7" i="1"/>
  <c r="X19" i="1"/>
  <c r="X12" i="1"/>
  <c r="X18" i="1"/>
  <c r="X20" i="1"/>
  <c r="X8" i="1"/>
  <c r="Y7" i="1"/>
  <c r="Y19" i="1"/>
  <c r="Y12" i="1"/>
  <c r="Y18" i="1"/>
  <c r="Y20" i="1"/>
  <c r="Y8" i="1"/>
  <c r="Z7" i="1"/>
  <c r="Z19" i="1"/>
  <c r="Z12" i="1"/>
  <c r="Z18" i="1"/>
  <c r="Z20" i="1"/>
  <c r="Z8" i="1"/>
  <c r="AA7" i="1"/>
  <c r="AA19" i="1"/>
  <c r="AA12" i="1"/>
  <c r="AA18" i="1"/>
  <c r="AA20" i="1"/>
  <c r="AA8" i="1"/>
  <c r="AB7" i="1"/>
  <c r="AB19" i="1"/>
  <c r="AB12" i="1"/>
  <c r="AB18" i="1"/>
  <c r="AB20" i="1"/>
  <c r="AB8" i="1"/>
  <c r="AC7" i="1"/>
  <c r="AC19" i="1"/>
  <c r="AC12" i="1"/>
  <c r="AC18" i="1"/>
  <c r="AC20" i="1"/>
  <c r="AC8" i="1"/>
  <c r="AD7" i="1"/>
  <c r="AD19" i="1"/>
  <c r="AD12" i="1"/>
  <c r="AD18" i="1"/>
  <c r="AD20" i="1"/>
  <c r="AD8" i="1"/>
  <c r="AE7" i="1"/>
  <c r="AE19" i="1"/>
  <c r="AE12" i="1"/>
  <c r="AE18" i="1"/>
  <c r="AE20" i="1"/>
  <c r="AE8" i="1"/>
  <c r="AF7" i="1"/>
  <c r="AF19" i="1"/>
  <c r="AF12" i="1"/>
  <c r="AF18" i="1"/>
  <c r="AF20" i="1"/>
  <c r="AF8" i="1"/>
  <c r="AG7" i="1"/>
  <c r="AG19" i="1"/>
  <c r="AG12" i="1"/>
  <c r="AG18" i="1"/>
  <c r="AG20" i="1"/>
  <c r="AG8" i="1"/>
  <c r="AH7" i="1"/>
  <c r="AH19" i="1"/>
  <c r="AH12" i="1"/>
  <c r="AH18" i="1"/>
  <c r="AH20" i="1"/>
  <c r="AH8" i="1"/>
  <c r="AI19" i="1"/>
  <c r="AI12" i="1"/>
  <c r="AI18" i="1"/>
  <c r="AI20" i="1"/>
  <c r="AI8" i="1"/>
  <c r="AI7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G33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G35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H35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I35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G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H36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I36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G37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H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I37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B38" i="1"/>
  <c r="B50" i="1"/>
  <c r="B36" i="1"/>
  <c r="B54" i="1"/>
  <c r="B37" i="1"/>
  <c r="B55" i="1"/>
  <c r="B39" i="1"/>
  <c r="B51" i="1"/>
  <c r="B40" i="1"/>
  <c r="B52" i="1"/>
  <c r="C52" i="1"/>
  <c r="C51" i="1"/>
  <c r="C50" i="1"/>
  <c r="C4" i="1"/>
  <c r="C5" i="1"/>
  <c r="C6" i="1"/>
  <c r="B35" i="1"/>
  <c r="B53" i="1"/>
  <c r="C55" i="1"/>
  <c r="C54" i="1"/>
  <c r="C11" i="1"/>
  <c r="C12" i="1"/>
  <c r="C13" i="1"/>
  <c r="C53" i="1"/>
  <c r="B34" i="1"/>
  <c r="B33" i="1"/>
  <c r="B43" i="1"/>
  <c r="C14" i="1"/>
  <c r="C15" i="1"/>
  <c r="B21" i="1"/>
  <c r="B44" i="1"/>
  <c r="B46" i="1"/>
  <c r="B45" i="1"/>
  <c r="B47" i="1"/>
  <c r="C46" i="1"/>
  <c r="C47" i="1"/>
  <c r="C7" i="1"/>
  <c r="C8" i="1"/>
  <c r="C45" i="1"/>
  <c r="H32" i="1"/>
  <c r="H40" i="1"/>
  <c r="H52" i="1"/>
  <c r="J53" i="1" a="1"/>
  <c r="H31" i="1"/>
  <c r="G39" i="1"/>
  <c r="G52" i="1"/>
  <c r="J53" i="1"/>
  <c r="H53" i="1"/>
  <c r="H39" i="1"/>
  <c r="H47" i="1"/>
  <c r="H33" i="1"/>
  <c r="I41" i="1"/>
  <c r="I52" i="1"/>
  <c r="I53" i="1"/>
  <c r="I39" i="1"/>
  <c r="I47" i="1"/>
  <c r="B48" i="1"/>
  <c r="G40" i="1"/>
  <c r="J54" i="1"/>
  <c r="G54" i="1"/>
  <c r="G48" i="1"/>
  <c r="H54" i="1"/>
  <c r="H48" i="1"/>
  <c r="I54" i="1"/>
  <c r="I40" i="1"/>
  <c r="I48" i="1"/>
  <c r="G41" i="1"/>
  <c r="J55" i="1"/>
  <c r="G55" i="1"/>
  <c r="G49" i="1"/>
  <c r="H41" i="1"/>
  <c r="H55" i="1"/>
  <c r="H49" i="1"/>
  <c r="I55" i="1"/>
  <c r="I49" i="1"/>
  <c r="G53" i="1"/>
  <c r="G47" i="1"/>
  <c r="B34" i="3"/>
  <c r="B21" i="3"/>
  <c r="B1" i="4"/>
  <c r="B3" i="4"/>
  <c r="B4" i="4"/>
  <c r="B4" i="5"/>
  <c r="B2" i="4"/>
  <c r="B34" i="7"/>
  <c r="B21" i="7"/>
  <c r="B34" i="8"/>
  <c r="B21" i="8"/>
  <c r="B34" i="9"/>
  <c r="B21" i="9"/>
  <c r="B34" i="10"/>
  <c r="B21" i="10"/>
  <c r="B34" i="11"/>
  <c r="B21" i="11"/>
  <c r="B34" i="12"/>
  <c r="B21" i="12"/>
  <c r="C4" i="7"/>
  <c r="F4" i="7"/>
  <c r="C5" i="7"/>
  <c r="F5" i="7"/>
  <c r="C6" i="7"/>
  <c r="F6" i="7"/>
  <c r="C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F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C13" i="7"/>
  <c r="C14" i="7"/>
  <c r="C15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B27" i="7"/>
  <c r="C27" i="7"/>
  <c r="E27" i="7"/>
  <c r="F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B28" i="7"/>
  <c r="C28" i="7"/>
  <c r="E28" i="7"/>
  <c r="F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B29" i="7"/>
  <c r="C29" i="7"/>
  <c r="E29" i="7"/>
  <c r="F29" i="7"/>
  <c r="C30" i="7"/>
  <c r="B31" i="7"/>
  <c r="G31" i="7"/>
  <c r="H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G32" i="7"/>
  <c r="H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B33" i="7"/>
  <c r="G33" i="7"/>
  <c r="H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B35" i="7"/>
  <c r="G35" i="7"/>
  <c r="H35" i="7"/>
  <c r="I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B36" i="7"/>
  <c r="C36" i="7"/>
  <c r="E36" i="7"/>
  <c r="G36" i="7"/>
  <c r="H36" i="7"/>
  <c r="I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B37" i="7"/>
  <c r="C37" i="7"/>
  <c r="E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B38" i="7"/>
  <c r="C38" i="7"/>
  <c r="E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B39" i="7"/>
  <c r="C39" i="7"/>
  <c r="E39" i="7"/>
  <c r="G39" i="7"/>
  <c r="H39" i="7"/>
  <c r="I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B40" i="7"/>
  <c r="C40" i="7"/>
  <c r="E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B41" i="7"/>
  <c r="C41" i="7"/>
  <c r="E41" i="7"/>
  <c r="G41" i="7"/>
  <c r="H41" i="7"/>
  <c r="I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B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B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B47" i="7"/>
  <c r="G47" i="7"/>
  <c r="H47" i="7"/>
  <c r="I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B48" i="7"/>
  <c r="C48" i="7"/>
  <c r="G48" i="7"/>
  <c r="H48" i="7"/>
  <c r="I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B49" i="7"/>
  <c r="C49" i="7"/>
  <c r="G49" i="7"/>
  <c r="H49" i="7"/>
  <c r="I49" i="7"/>
  <c r="B50" i="7"/>
  <c r="C50" i="7"/>
  <c r="B51" i="7"/>
  <c r="G52" i="7"/>
  <c r="H52" i="7"/>
  <c r="I52" i="7"/>
  <c r="B53" i="7"/>
  <c r="C53" i="7"/>
  <c r="G53" i="7"/>
  <c r="H53" i="7"/>
  <c r="I53" i="7"/>
  <c r="J53" i="7" a="1"/>
  <c r="J53" i="7"/>
  <c r="B54" i="7"/>
  <c r="C54" i="7"/>
  <c r="G54" i="7"/>
  <c r="H54" i="7"/>
  <c r="I54" i="7"/>
  <c r="J54" i="7"/>
  <c r="B55" i="7"/>
  <c r="C55" i="7"/>
  <c r="G55" i="7"/>
  <c r="H55" i="7"/>
  <c r="I55" i="7"/>
  <c r="J55" i="7"/>
  <c r="B56" i="7"/>
  <c r="C56" i="7"/>
  <c r="B57" i="7"/>
  <c r="C57" i="7"/>
  <c r="G57" i="7" a="1"/>
  <c r="G57" i="7"/>
  <c r="H57" i="7"/>
  <c r="I57" i="7"/>
  <c r="B58" i="7"/>
  <c r="C58" i="7"/>
  <c r="G58" i="7"/>
  <c r="H58" i="7"/>
  <c r="I58" i="7"/>
  <c r="G59" i="7"/>
  <c r="H59" i="7"/>
  <c r="I59" i="7"/>
  <c r="B60" i="7"/>
  <c r="B61" i="7"/>
  <c r="B62" i="7"/>
  <c r="C4" i="10"/>
  <c r="F4" i="10"/>
  <c r="G4" i="10"/>
  <c r="C5" i="10"/>
  <c r="F5" i="10"/>
  <c r="G5" i="10"/>
  <c r="C6" i="10"/>
  <c r="F6" i="10"/>
  <c r="G6" i="10"/>
  <c r="C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F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C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C12" i="10"/>
  <c r="C13" i="10"/>
  <c r="C14" i="10"/>
  <c r="C15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B27" i="10"/>
  <c r="C27" i="10"/>
  <c r="E27" i="10"/>
  <c r="F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B28" i="10"/>
  <c r="C28" i="10"/>
  <c r="E28" i="10"/>
  <c r="F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B29" i="10"/>
  <c r="C29" i="10"/>
  <c r="E29" i="10"/>
  <c r="F29" i="10"/>
  <c r="C30" i="10"/>
  <c r="B31" i="10"/>
  <c r="G31" i="10"/>
  <c r="H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G32" i="10"/>
  <c r="H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B33" i="10"/>
  <c r="G33" i="10"/>
  <c r="H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5" i="10"/>
  <c r="G35" i="10"/>
  <c r="H35" i="10"/>
  <c r="I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B36" i="10"/>
  <c r="C36" i="10"/>
  <c r="E36" i="10"/>
  <c r="G36" i="10"/>
  <c r="H36" i="10"/>
  <c r="I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B37" i="10"/>
  <c r="C37" i="10"/>
  <c r="E37" i="10"/>
  <c r="G37" i="10"/>
  <c r="H37" i="10"/>
  <c r="I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B38" i="10"/>
  <c r="C38" i="10"/>
  <c r="E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B39" i="10"/>
  <c r="C39" i="10"/>
  <c r="E39" i="10"/>
  <c r="G39" i="10"/>
  <c r="H39" i="10"/>
  <c r="I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B40" i="10"/>
  <c r="C40" i="10"/>
  <c r="E40" i="10"/>
  <c r="G40" i="10"/>
  <c r="H40" i="10"/>
  <c r="I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B41" i="10"/>
  <c r="C41" i="10"/>
  <c r="E41" i="10"/>
  <c r="G41" i="10"/>
  <c r="H41" i="10"/>
  <c r="I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B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B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B47" i="10"/>
  <c r="G47" i="10"/>
  <c r="H47" i="10"/>
  <c r="I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B48" i="10"/>
  <c r="C48" i="10"/>
  <c r="G48" i="10"/>
  <c r="H48" i="10"/>
  <c r="I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49" i="10"/>
  <c r="C49" i="10"/>
  <c r="G49" i="10"/>
  <c r="H49" i="10"/>
  <c r="I49" i="10"/>
  <c r="B50" i="10"/>
  <c r="C50" i="10"/>
  <c r="B51" i="10"/>
  <c r="G52" i="10"/>
  <c r="H52" i="10"/>
  <c r="I52" i="10"/>
  <c r="B53" i="10"/>
  <c r="C53" i="10"/>
  <c r="G53" i="10"/>
  <c r="H53" i="10"/>
  <c r="I53" i="10"/>
  <c r="J53" i="10" a="1"/>
  <c r="J53" i="10"/>
  <c r="B54" i="10"/>
  <c r="C54" i="10"/>
  <c r="G54" i="10"/>
  <c r="H54" i="10"/>
  <c r="I54" i="10"/>
  <c r="J54" i="10"/>
  <c r="B55" i="10"/>
  <c r="C55" i="10"/>
  <c r="G55" i="10"/>
  <c r="H55" i="10"/>
  <c r="I55" i="10"/>
  <c r="J55" i="10"/>
  <c r="B56" i="10"/>
  <c r="C56" i="10"/>
  <c r="B57" i="10"/>
  <c r="C57" i="10"/>
  <c r="G57" i="10" a="1"/>
  <c r="G57" i="10"/>
  <c r="H57" i="10"/>
  <c r="I57" i="10"/>
  <c r="B58" i="10"/>
  <c r="C58" i="10"/>
  <c r="G58" i="10"/>
  <c r="H58" i="10"/>
  <c r="I58" i="10"/>
  <c r="G59" i="10"/>
  <c r="H59" i="10"/>
  <c r="I59" i="10"/>
  <c r="B60" i="10"/>
  <c r="B61" i="10"/>
  <c r="B62" i="10"/>
  <c r="C4" i="8"/>
  <c r="F4" i="8"/>
  <c r="C5" i="8"/>
  <c r="F5" i="8"/>
  <c r="C6" i="8"/>
  <c r="F6" i="8"/>
  <c r="C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F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C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C12" i="8"/>
  <c r="C13" i="8"/>
  <c r="C14" i="8"/>
  <c r="C15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B27" i="8"/>
  <c r="C27" i="8"/>
  <c r="E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B28" i="8"/>
  <c r="C28" i="8"/>
  <c r="E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B29" i="8"/>
  <c r="C29" i="8"/>
  <c r="E29" i="8"/>
  <c r="C30" i="8"/>
  <c r="B31" i="8"/>
  <c r="G31" i="8"/>
  <c r="H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G32" i="8"/>
  <c r="H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B33" i="8"/>
  <c r="G33" i="8"/>
  <c r="H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B35" i="8"/>
  <c r="G35" i="8"/>
  <c r="H35" i="8"/>
  <c r="I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B36" i="8"/>
  <c r="C36" i="8"/>
  <c r="E36" i="8"/>
  <c r="G36" i="8"/>
  <c r="H36" i="8"/>
  <c r="I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B37" i="8"/>
  <c r="C37" i="8"/>
  <c r="E37" i="8"/>
  <c r="G37" i="8"/>
  <c r="H37" i="8"/>
  <c r="I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B38" i="8"/>
  <c r="C38" i="8"/>
  <c r="E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B39" i="8"/>
  <c r="C39" i="8"/>
  <c r="E39" i="8"/>
  <c r="G39" i="8"/>
  <c r="H39" i="8"/>
  <c r="I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B40" i="8"/>
  <c r="C40" i="8"/>
  <c r="E40" i="8"/>
  <c r="G40" i="8"/>
  <c r="H40" i="8"/>
  <c r="I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B41" i="8"/>
  <c r="C41" i="8"/>
  <c r="E41" i="8"/>
  <c r="G41" i="8"/>
  <c r="H41" i="8"/>
  <c r="I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B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B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B47" i="8"/>
  <c r="G47" i="8"/>
  <c r="H47" i="8"/>
  <c r="I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B48" i="8"/>
  <c r="C48" i="8"/>
  <c r="G48" i="8"/>
  <c r="H48" i="8"/>
  <c r="I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B49" i="8"/>
  <c r="C49" i="8"/>
  <c r="G49" i="8"/>
  <c r="H49" i="8"/>
  <c r="I49" i="8"/>
  <c r="B50" i="8"/>
  <c r="C50" i="8"/>
  <c r="B51" i="8"/>
  <c r="G52" i="8"/>
  <c r="H52" i="8"/>
  <c r="I52" i="8"/>
  <c r="B53" i="8"/>
  <c r="C53" i="8"/>
  <c r="G53" i="8"/>
  <c r="H53" i="8"/>
  <c r="I53" i="8"/>
  <c r="J53" i="8" a="1"/>
  <c r="J53" i="8"/>
  <c r="B54" i="8"/>
  <c r="C54" i="8"/>
  <c r="G54" i="8"/>
  <c r="H54" i="8"/>
  <c r="I54" i="8"/>
  <c r="J54" i="8"/>
  <c r="B55" i="8"/>
  <c r="C55" i="8"/>
  <c r="G55" i="8"/>
  <c r="H55" i="8"/>
  <c r="I55" i="8"/>
  <c r="J55" i="8"/>
  <c r="B56" i="8"/>
  <c r="C56" i="8"/>
  <c r="B57" i="8"/>
  <c r="C57" i="8"/>
  <c r="G57" i="8" a="1"/>
  <c r="G57" i="8"/>
  <c r="H57" i="8"/>
  <c r="I57" i="8"/>
  <c r="B58" i="8"/>
  <c r="C58" i="8"/>
  <c r="G58" i="8"/>
  <c r="H58" i="8"/>
  <c r="I58" i="8"/>
  <c r="G59" i="8"/>
  <c r="H59" i="8"/>
  <c r="I59" i="8"/>
  <c r="B60" i="8"/>
  <c r="B61" i="8"/>
  <c r="B62" i="8"/>
  <c r="C4" i="11"/>
  <c r="F4" i="11"/>
  <c r="C5" i="11"/>
  <c r="F5" i="11"/>
  <c r="C6" i="11"/>
  <c r="F6" i="11"/>
  <c r="C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F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C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C12" i="11"/>
  <c r="C13" i="11"/>
  <c r="C14" i="11"/>
  <c r="C15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B27" i="11"/>
  <c r="C27" i="11"/>
  <c r="E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B28" i="11"/>
  <c r="C28" i="11"/>
  <c r="E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B29" i="11"/>
  <c r="C29" i="11"/>
  <c r="E29" i="11"/>
  <c r="C30" i="11"/>
  <c r="B31" i="11"/>
  <c r="G31" i="11"/>
  <c r="H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G32" i="11"/>
  <c r="H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B33" i="11"/>
  <c r="G33" i="11"/>
  <c r="H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B35" i="11"/>
  <c r="G35" i="11"/>
  <c r="H35" i="11"/>
  <c r="I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B36" i="11"/>
  <c r="C36" i="11"/>
  <c r="E36" i="11"/>
  <c r="G36" i="11"/>
  <c r="H36" i="11"/>
  <c r="I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B37" i="11"/>
  <c r="C37" i="11"/>
  <c r="E37" i="11"/>
  <c r="G37" i="11"/>
  <c r="H37" i="11"/>
  <c r="I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B38" i="11"/>
  <c r="C38" i="11"/>
  <c r="E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B39" i="11"/>
  <c r="C39" i="11"/>
  <c r="E39" i="11"/>
  <c r="G39" i="11"/>
  <c r="H39" i="11"/>
  <c r="I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B40" i="11"/>
  <c r="C40" i="11"/>
  <c r="E40" i="11"/>
  <c r="G40" i="11"/>
  <c r="H40" i="11"/>
  <c r="I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B41" i="11"/>
  <c r="C41" i="11"/>
  <c r="E41" i="11"/>
  <c r="G41" i="11"/>
  <c r="H41" i="11"/>
  <c r="I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B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B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B47" i="11"/>
  <c r="G47" i="11"/>
  <c r="H47" i="11"/>
  <c r="I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B48" i="11"/>
  <c r="C48" i="11"/>
  <c r="G48" i="11"/>
  <c r="H48" i="11"/>
  <c r="I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B49" i="11"/>
  <c r="C49" i="11"/>
  <c r="G49" i="11"/>
  <c r="H49" i="11"/>
  <c r="I49" i="11"/>
  <c r="B50" i="11"/>
  <c r="C50" i="11"/>
  <c r="B51" i="11"/>
  <c r="G52" i="11"/>
  <c r="H52" i="11"/>
  <c r="I52" i="11"/>
  <c r="B53" i="11"/>
  <c r="C53" i="11"/>
  <c r="G53" i="11"/>
  <c r="H53" i="11"/>
  <c r="I53" i="11"/>
  <c r="J53" i="11" a="1"/>
  <c r="J53" i="11"/>
  <c r="B54" i="11"/>
  <c r="C54" i="11"/>
  <c r="G54" i="11"/>
  <c r="H54" i="11"/>
  <c r="I54" i="11"/>
  <c r="J54" i="11"/>
  <c r="B55" i="11"/>
  <c r="C55" i="11"/>
  <c r="G55" i="11"/>
  <c r="H55" i="11"/>
  <c r="I55" i="11"/>
  <c r="J55" i="11"/>
  <c r="B56" i="11"/>
  <c r="C56" i="11"/>
  <c r="B57" i="11"/>
  <c r="C57" i="11"/>
  <c r="G57" i="11" a="1"/>
  <c r="G57" i="11"/>
  <c r="H57" i="11"/>
  <c r="I57" i="11"/>
  <c r="B58" i="11"/>
  <c r="C58" i="11"/>
  <c r="G58" i="11"/>
  <c r="H58" i="11"/>
  <c r="I58" i="11"/>
  <c r="G59" i="11"/>
  <c r="H59" i="11"/>
  <c r="I59" i="11"/>
  <c r="B60" i="11"/>
  <c r="B61" i="11"/>
  <c r="B62" i="11"/>
  <c r="C4" i="9"/>
  <c r="F4" i="9"/>
  <c r="C5" i="9"/>
  <c r="F5" i="9"/>
  <c r="C6" i="9"/>
  <c r="F6" i="9"/>
  <c r="C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F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C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C12" i="9"/>
  <c r="C13" i="9"/>
  <c r="C14" i="9"/>
  <c r="C15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B27" i="9"/>
  <c r="C27" i="9"/>
  <c r="E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B28" i="9"/>
  <c r="C28" i="9"/>
  <c r="E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B29" i="9"/>
  <c r="C29" i="9"/>
  <c r="E29" i="9"/>
  <c r="C30" i="9"/>
  <c r="B31" i="9"/>
  <c r="G31" i="9"/>
  <c r="H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G32" i="9"/>
  <c r="H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B33" i="9"/>
  <c r="G33" i="9"/>
  <c r="H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B35" i="9"/>
  <c r="G35" i="9"/>
  <c r="H35" i="9"/>
  <c r="I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B36" i="9"/>
  <c r="C36" i="9"/>
  <c r="E36" i="9"/>
  <c r="G36" i="9"/>
  <c r="H36" i="9"/>
  <c r="I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B37" i="9"/>
  <c r="C37" i="9"/>
  <c r="E37" i="9"/>
  <c r="G37" i="9"/>
  <c r="H37" i="9"/>
  <c r="I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B38" i="9"/>
  <c r="C38" i="9"/>
  <c r="E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B39" i="9"/>
  <c r="C39" i="9"/>
  <c r="E39" i="9"/>
  <c r="G39" i="9"/>
  <c r="H39" i="9"/>
  <c r="I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B40" i="9"/>
  <c r="C40" i="9"/>
  <c r="E40" i="9"/>
  <c r="G40" i="9"/>
  <c r="H40" i="9"/>
  <c r="I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B41" i="9"/>
  <c r="C41" i="9"/>
  <c r="E41" i="9"/>
  <c r="G41" i="9"/>
  <c r="H41" i="9"/>
  <c r="I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B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B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B47" i="9"/>
  <c r="G47" i="9"/>
  <c r="H47" i="9"/>
  <c r="I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B48" i="9"/>
  <c r="C48" i="9"/>
  <c r="G48" i="9"/>
  <c r="H48" i="9"/>
  <c r="I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B49" i="9"/>
  <c r="C49" i="9"/>
  <c r="G49" i="9"/>
  <c r="H49" i="9"/>
  <c r="I49" i="9"/>
  <c r="B50" i="9"/>
  <c r="C50" i="9"/>
  <c r="B51" i="9"/>
  <c r="G52" i="9"/>
  <c r="H52" i="9"/>
  <c r="I52" i="9"/>
  <c r="B53" i="9"/>
  <c r="C53" i="9"/>
  <c r="G53" i="9"/>
  <c r="H53" i="9"/>
  <c r="I53" i="9"/>
  <c r="J53" i="9" a="1"/>
  <c r="J53" i="9"/>
  <c r="B54" i="9"/>
  <c r="C54" i="9"/>
  <c r="G54" i="9"/>
  <c r="H54" i="9"/>
  <c r="I54" i="9"/>
  <c r="J54" i="9"/>
  <c r="B55" i="9"/>
  <c r="C55" i="9"/>
  <c r="G55" i="9"/>
  <c r="H55" i="9"/>
  <c r="I55" i="9"/>
  <c r="J55" i="9"/>
  <c r="B56" i="9"/>
  <c r="C56" i="9"/>
  <c r="B57" i="9"/>
  <c r="C57" i="9"/>
  <c r="G57" i="9" a="1"/>
  <c r="G57" i="9"/>
  <c r="H57" i="9"/>
  <c r="I57" i="9"/>
  <c r="B58" i="9"/>
  <c r="C58" i="9"/>
  <c r="G58" i="9"/>
  <c r="H58" i="9"/>
  <c r="I58" i="9"/>
  <c r="G59" i="9"/>
  <c r="H59" i="9"/>
  <c r="I59" i="9"/>
  <c r="B60" i="9"/>
  <c r="B61" i="9"/>
  <c r="B62" i="9"/>
  <c r="C4" i="12"/>
  <c r="F4" i="12"/>
  <c r="C5" i="12"/>
  <c r="F5" i="12"/>
  <c r="C6" i="12"/>
  <c r="F6" i="12"/>
  <c r="C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F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C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C12" i="12"/>
  <c r="C13" i="12"/>
  <c r="C14" i="12"/>
  <c r="C15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B27" i="12"/>
  <c r="C27" i="12"/>
  <c r="E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B28" i="12"/>
  <c r="C28" i="12"/>
  <c r="E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B29" i="12"/>
  <c r="C29" i="12"/>
  <c r="E29" i="12"/>
  <c r="C30" i="12"/>
  <c r="B31" i="12"/>
  <c r="G31" i="12"/>
  <c r="H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G32" i="12"/>
  <c r="H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B33" i="12"/>
  <c r="G33" i="12"/>
  <c r="H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B35" i="12"/>
  <c r="G35" i="12"/>
  <c r="H35" i="12"/>
  <c r="I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B36" i="12"/>
  <c r="C36" i="12"/>
  <c r="E36" i="12"/>
  <c r="G36" i="12"/>
  <c r="H36" i="12"/>
  <c r="I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B37" i="12"/>
  <c r="C37" i="12"/>
  <c r="E37" i="12"/>
  <c r="G37" i="12"/>
  <c r="H37" i="12"/>
  <c r="I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B38" i="12"/>
  <c r="C38" i="12"/>
  <c r="E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B39" i="12"/>
  <c r="C39" i="12"/>
  <c r="E39" i="12"/>
  <c r="G39" i="12"/>
  <c r="H39" i="12"/>
  <c r="I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B40" i="12"/>
  <c r="C40" i="12"/>
  <c r="E40" i="12"/>
  <c r="G40" i="12"/>
  <c r="H40" i="12"/>
  <c r="I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B41" i="12"/>
  <c r="C41" i="12"/>
  <c r="E41" i="12"/>
  <c r="G41" i="12"/>
  <c r="H41" i="12"/>
  <c r="I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B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B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B47" i="12"/>
  <c r="G47" i="12"/>
  <c r="H47" i="12"/>
  <c r="I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B48" i="12"/>
  <c r="C48" i="12"/>
  <c r="G48" i="12"/>
  <c r="H48" i="12"/>
  <c r="I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B49" i="12"/>
  <c r="C49" i="12"/>
  <c r="G49" i="12"/>
  <c r="H49" i="12"/>
  <c r="I49" i="12"/>
  <c r="B50" i="12"/>
  <c r="C50" i="12"/>
  <c r="B51" i="12"/>
  <c r="G52" i="12"/>
  <c r="H52" i="12"/>
  <c r="I52" i="12"/>
  <c r="B53" i="12"/>
  <c r="C53" i="12"/>
  <c r="G53" i="12"/>
  <c r="H53" i="12"/>
  <c r="I53" i="12"/>
  <c r="J53" i="12" a="1"/>
  <c r="J53" i="12"/>
  <c r="B54" i="12"/>
  <c r="C54" i="12"/>
  <c r="G54" i="12"/>
  <c r="H54" i="12"/>
  <c r="I54" i="12"/>
  <c r="J54" i="12"/>
  <c r="B55" i="12"/>
  <c r="C55" i="12"/>
  <c r="G55" i="12"/>
  <c r="H55" i="12"/>
  <c r="I55" i="12"/>
  <c r="J55" i="12"/>
  <c r="B56" i="12"/>
  <c r="C56" i="12"/>
  <c r="B57" i="12"/>
  <c r="C57" i="12"/>
  <c r="G57" i="12" a="1"/>
  <c r="G57" i="12"/>
  <c r="H57" i="12"/>
  <c r="I57" i="12"/>
  <c r="B58" i="12"/>
  <c r="C58" i="12"/>
  <c r="G58" i="12"/>
  <c r="H58" i="12"/>
  <c r="I58" i="12"/>
  <c r="G59" i="12"/>
  <c r="H59" i="12"/>
  <c r="I59" i="12"/>
  <c r="B60" i="12"/>
  <c r="B61" i="12"/>
  <c r="B62" i="12"/>
  <c r="C4" i="3"/>
  <c r="F4" i="3"/>
  <c r="C5" i="3"/>
  <c r="F5" i="3"/>
  <c r="C6" i="3"/>
  <c r="F6" i="3"/>
  <c r="C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F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C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C12" i="3"/>
  <c r="C13" i="3"/>
  <c r="C14" i="3"/>
  <c r="C15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E27" i="3"/>
  <c r="F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E28" i="3"/>
  <c r="F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E29" i="3"/>
  <c r="F29" i="3"/>
  <c r="C30" i="3"/>
  <c r="B31" i="3"/>
  <c r="G31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G32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G33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5" i="3"/>
  <c r="G35" i="3"/>
  <c r="H35" i="3"/>
  <c r="I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E36" i="3"/>
  <c r="G36" i="3"/>
  <c r="H36" i="3"/>
  <c r="I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E37" i="3"/>
  <c r="G37" i="3"/>
  <c r="H37" i="3"/>
  <c r="I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38" i="3"/>
  <c r="C38" i="3"/>
  <c r="E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39" i="3"/>
  <c r="C39" i="3"/>
  <c r="E39" i="3"/>
  <c r="G39" i="3"/>
  <c r="H39" i="3"/>
  <c r="I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40" i="3"/>
  <c r="C40" i="3"/>
  <c r="E40" i="3"/>
  <c r="G40" i="3"/>
  <c r="H40" i="3"/>
  <c r="I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41" i="3"/>
  <c r="C41" i="3"/>
  <c r="E41" i="3"/>
  <c r="G41" i="3"/>
  <c r="H41" i="3"/>
  <c r="I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47" i="3"/>
  <c r="G47" i="3"/>
  <c r="H47" i="3"/>
  <c r="I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48" i="3"/>
  <c r="C48" i="3"/>
  <c r="G48" i="3"/>
  <c r="H48" i="3"/>
  <c r="I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9" i="3"/>
  <c r="C49" i="3"/>
  <c r="G49" i="3"/>
  <c r="H49" i="3"/>
  <c r="I49" i="3"/>
  <c r="B50" i="3"/>
  <c r="C50" i="3"/>
  <c r="B51" i="3"/>
  <c r="G52" i="3"/>
  <c r="H52" i="3"/>
  <c r="I52" i="3"/>
  <c r="B53" i="3"/>
  <c r="C53" i="3"/>
  <c r="G53" i="3"/>
  <c r="H53" i="3"/>
  <c r="I53" i="3"/>
  <c r="J53" i="3" a="1"/>
  <c r="J53" i="3"/>
  <c r="B54" i="3"/>
  <c r="C54" i="3"/>
  <c r="G54" i="3"/>
  <c r="H54" i="3"/>
  <c r="I54" i="3"/>
  <c r="J54" i="3"/>
  <c r="B55" i="3"/>
  <c r="C55" i="3"/>
  <c r="G55" i="3"/>
  <c r="H55" i="3"/>
  <c r="I55" i="3"/>
  <c r="J55" i="3"/>
  <c r="B56" i="3"/>
  <c r="C56" i="3"/>
  <c r="B57" i="3"/>
  <c r="C57" i="3"/>
  <c r="G57" i="3" a="1"/>
  <c r="G57" i="3"/>
  <c r="H57" i="3"/>
  <c r="I57" i="3"/>
  <c r="B58" i="3"/>
  <c r="C58" i="3"/>
  <c r="G58" i="3"/>
  <c r="H58" i="3"/>
  <c r="I58" i="3"/>
  <c r="G59" i="3"/>
  <c r="H59" i="3"/>
  <c r="I59" i="3"/>
  <c r="B60" i="3"/>
  <c r="B61" i="3"/>
  <c r="B62" i="3"/>
  <c r="C5" i="6"/>
  <c r="D5" i="6"/>
  <c r="E5" i="6"/>
  <c r="F5" i="6"/>
  <c r="I5" i="6"/>
  <c r="J5" i="6"/>
  <c r="K5" i="6"/>
  <c r="C6" i="6"/>
  <c r="D6" i="6"/>
  <c r="E6" i="6"/>
  <c r="F6" i="6"/>
  <c r="I6" i="6"/>
  <c r="J6" i="6"/>
  <c r="K6" i="6"/>
  <c r="C7" i="6"/>
  <c r="D7" i="6"/>
  <c r="E7" i="6"/>
  <c r="F7" i="6"/>
  <c r="I7" i="6"/>
  <c r="J7" i="6"/>
  <c r="K7" i="6"/>
  <c r="C8" i="6"/>
  <c r="D8" i="6"/>
  <c r="E8" i="6"/>
  <c r="F8" i="6"/>
  <c r="I8" i="6"/>
  <c r="J8" i="6"/>
  <c r="K8" i="6"/>
  <c r="C11" i="6"/>
  <c r="D11" i="6"/>
  <c r="E11" i="6"/>
  <c r="F11" i="6"/>
  <c r="I11" i="6"/>
  <c r="J11" i="6"/>
  <c r="K11" i="6"/>
  <c r="C12" i="6"/>
  <c r="D12" i="6"/>
  <c r="E12" i="6"/>
  <c r="F12" i="6"/>
  <c r="I12" i="6"/>
  <c r="J12" i="6"/>
  <c r="K12" i="6"/>
  <c r="C13" i="6"/>
  <c r="D13" i="6"/>
  <c r="E13" i="6"/>
  <c r="F13" i="6"/>
  <c r="I13" i="6"/>
  <c r="J13" i="6"/>
  <c r="K13" i="6"/>
  <c r="C14" i="6"/>
  <c r="D14" i="6"/>
  <c r="E14" i="6"/>
  <c r="F14" i="6"/>
  <c r="I14" i="6"/>
  <c r="J14" i="6"/>
  <c r="K14" i="6"/>
  <c r="C17" i="6"/>
  <c r="D17" i="6"/>
  <c r="E17" i="6"/>
  <c r="F17" i="6"/>
  <c r="I17" i="6"/>
  <c r="J17" i="6"/>
  <c r="K17" i="6"/>
  <c r="C18" i="6"/>
  <c r="D18" i="6"/>
  <c r="E18" i="6"/>
  <c r="F18" i="6"/>
  <c r="I18" i="6"/>
  <c r="J18" i="6"/>
  <c r="K18" i="6"/>
  <c r="C19" i="6"/>
  <c r="D19" i="6"/>
  <c r="E19" i="6"/>
  <c r="F19" i="6"/>
  <c r="I19" i="6"/>
  <c r="J19" i="6"/>
  <c r="K19" i="6"/>
  <c r="C20" i="6"/>
  <c r="D20" i="6"/>
  <c r="E20" i="6"/>
  <c r="F20" i="6"/>
  <c r="I20" i="6"/>
  <c r="J20" i="6"/>
  <c r="K20" i="6"/>
  <c r="C23" i="6"/>
  <c r="D23" i="6"/>
  <c r="E23" i="6"/>
  <c r="F23" i="6"/>
  <c r="I23" i="6"/>
  <c r="J23" i="6"/>
  <c r="K23" i="6"/>
  <c r="C24" i="6"/>
  <c r="D24" i="6"/>
  <c r="E24" i="6"/>
  <c r="F24" i="6"/>
  <c r="I24" i="6"/>
  <c r="J24" i="6"/>
  <c r="K24" i="6"/>
  <c r="C25" i="6"/>
  <c r="D25" i="6"/>
  <c r="E25" i="6"/>
  <c r="F25" i="6"/>
  <c r="I25" i="6"/>
  <c r="J25" i="6"/>
  <c r="K25" i="6"/>
  <c r="C26" i="6"/>
  <c r="D26" i="6"/>
  <c r="E26" i="6"/>
  <c r="F26" i="6"/>
  <c r="I26" i="6"/>
  <c r="J26" i="6"/>
  <c r="K26" i="6"/>
  <c r="C29" i="6"/>
  <c r="D29" i="6"/>
  <c r="E29" i="6"/>
  <c r="F29" i="6"/>
  <c r="I29" i="6"/>
  <c r="J29" i="6"/>
  <c r="K29" i="6"/>
  <c r="C30" i="6"/>
  <c r="D30" i="6"/>
  <c r="E30" i="6"/>
  <c r="F30" i="6"/>
  <c r="I30" i="6"/>
  <c r="J30" i="6"/>
  <c r="K30" i="6"/>
  <c r="C31" i="6"/>
  <c r="D31" i="6"/>
  <c r="E31" i="6"/>
  <c r="F31" i="6"/>
  <c r="I31" i="6"/>
  <c r="J31" i="6"/>
  <c r="K31" i="6"/>
  <c r="C32" i="6"/>
  <c r="D32" i="6"/>
  <c r="E32" i="6"/>
  <c r="F32" i="6"/>
  <c r="I32" i="6"/>
  <c r="J32" i="6"/>
  <c r="K32" i="6"/>
  <c r="C35" i="6"/>
  <c r="D35" i="6"/>
  <c r="E35" i="6"/>
  <c r="F35" i="6"/>
  <c r="I35" i="6"/>
  <c r="J35" i="6"/>
  <c r="K35" i="6"/>
  <c r="C36" i="6"/>
  <c r="D36" i="6"/>
  <c r="E36" i="6"/>
  <c r="F36" i="6"/>
  <c r="I36" i="6"/>
  <c r="J36" i="6"/>
  <c r="K36" i="6"/>
  <c r="C37" i="6"/>
  <c r="D37" i="6"/>
  <c r="E37" i="6"/>
  <c r="F37" i="6"/>
  <c r="I37" i="6"/>
  <c r="J37" i="6"/>
  <c r="K37" i="6"/>
  <c r="C38" i="6"/>
  <c r="D38" i="6"/>
  <c r="E38" i="6"/>
  <c r="F38" i="6"/>
  <c r="I38" i="6"/>
  <c r="J38" i="6"/>
  <c r="K38" i="6"/>
  <c r="D48" i="6"/>
  <c r="E48" i="6"/>
  <c r="F48" i="6"/>
  <c r="D49" i="6"/>
  <c r="E49" i="6"/>
  <c r="F49" i="6"/>
  <c r="D50" i="6"/>
  <c r="E50" i="6"/>
  <c r="F50" i="6"/>
</calcChain>
</file>

<file path=xl/comments1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2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<sst xmlns="http://schemas.openxmlformats.org/spreadsheetml/2006/main" count="1003" uniqueCount="148">
  <si>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</si>
  <si>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</si>
  <si>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</si>
  <si>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</si>
  <si>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</si>
  <si>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</si>
  <si>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</si>
  <si>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</si>
  <si>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</si>
  <si>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</si>
  <si>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</si>
  <si>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</si>
  <si>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</si>
  <si>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</si>
  <si>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</si>
  <si>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</si>
  <si>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</si>
  <si>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</si>
  <si>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</si>
  <si>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</si>
  <si>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</si>
  <si>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</si>
  <si>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</si>
  <si>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</si>
  <si>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</si>
  <si>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</si>
  <si>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</si>
  <si>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</si>
  <si>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</si>
  <si>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</si>
  <si>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</si>
  <si>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</si>
  <si>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</si>
  <si>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</si>
  <si>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</si>
  <si>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</si>
  <si>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</si>
  <si>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</si>
  <si>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</si>
  <si>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</si>
  <si>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</si>
  <si>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</si>
  <si>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</si>
  <si>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</si>
  <si>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</si>
  <si>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</si>
  <si>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</si>
  <si>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</si>
  <si>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</si>
  <si>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</si>
  <si>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</si>
  <si>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</si>
  <si>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</si>
  <si>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</si>
  <si>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</si>
  <si>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</si>
  <si>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</si>
  <si>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</si>
  <si>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</si>
  <si>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</si>
  <si>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</si>
  <si>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</si>
  <si>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</si>
  <si>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</si>
  <si>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</si>
  <si>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</si>
  <si>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</si>
  <si>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</si>
  <si>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</si>
  <si>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</si>
  <si>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</si>
  <si>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</si>
  <si>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</si>
  <si>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</si>
  <si>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</si>
  <si>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</si>
  <si>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</si>
  <si>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</si>
  <si>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</si>
  <si>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</si>
  <si>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</si>
  <si>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</si>
  <si>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</si>
  <si>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sr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</si>
  <si>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</si>
  <si>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</si>
  <si>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</si>
  <si>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</si>
  <si>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</si>
  <si>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</si>
  <si>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</si>
  <si>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</si>
  <si>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</si>
  <si>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</si>
  <si>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</si>
  <si>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</si>
  <si>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</si>
  <si>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</si>
  <si>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</si>
  <si>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</si>
  <si>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</si>
  <si>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</si>
  <si>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</si>
  <si>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</si>
  <si>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</si>
  <si>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</si>
  <si>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</si>
  <si>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</si>
  <si>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</si>
  <si>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</si>
  <si>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</si>
  <si>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</si>
  <si>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</si>
  <si>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</si>
  <si>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</si>
  <si>
    <t>Status Quo</t>
  </si>
  <si>
    <t>Age</t>
  </si>
  <si>
    <t>Flt1_</t>
  </si>
  <si>
    <t>Flt2_</t>
  </si>
  <si>
    <t>Flt3_</t>
  </si>
  <si>
    <t>avg_wt1</t>
  </si>
  <si>
    <t>avg_wt2</t>
  </si>
  <si>
    <t>avg_wt3</t>
  </si>
  <si>
    <t>Wa</t>
  </si>
  <si>
    <t>Wa_hat</t>
  </si>
  <si>
    <t>winf</t>
  </si>
  <si>
    <t>k</t>
  </si>
  <si>
    <t>to</t>
  </si>
  <si>
    <t>FISHING DAYS PER YEAR</t>
  </si>
  <si>
    <t>MITIGATION Status Quo</t>
  </si>
  <si>
    <t>phib</t>
  </si>
  <si>
    <t>Average</t>
  </si>
  <si>
    <t>PERCENT OF TOTAL YPR</t>
  </si>
  <si>
    <t>PERCENT OF TOTAL MPR</t>
  </si>
  <si>
    <t>YIELD (Mlb)</t>
  </si>
  <si>
    <t>AVERAGE WEIGHT (lb)</t>
  </si>
  <si>
    <t>Reduce DMR</t>
  </si>
  <si>
    <t>Excluders</t>
  </si>
  <si>
    <t>ALLOCATION BASED ON YPR</t>
  </si>
  <si>
    <t>ALLOCATION BASED ON MPR</t>
  </si>
  <si>
    <t>Full Retention</t>
  </si>
  <si>
    <t xml:space="preserve"> </t>
  </si>
  <si>
    <t>q</t>
  </si>
  <si>
    <t>CPUE</t>
  </si>
  <si>
    <t>CPUE || ENCOUNTER RATE</t>
  </si>
  <si>
    <t>Yield Equivalents</t>
  </si>
  <si>
    <t>Campana,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</si>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</sst>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00"/>
    <numFmt numFmtId="165" formatCode="0.0000"/>
    <numFmt numFmtId="166" formatCode="_-* #,##0_-;\-* #,##0_-;_-* &quot;-&quot;??_-;_-@_-"/>
    <numFmt numFmtId="167" formatCode="0.000000000000"/>
  </numFmts>
  <fonts count="22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  <font>
      <sz val="12"/>
      <color rgb="FF846648"/>
      <name val="Palatino Linotype"/>
      <scheme val="minor"/>
    </font>
    <font>
      <sz val="12"/>
      <color rgb="FFE68422"/>
      <name val="Palatino Linotype"/>
      <scheme val="minor"/>
    </font>
    <font>
      <sz val="12"/>
      <color rgb="FF000000"/>
      <name val="Palatino Linotype"/>
      <family val="2"/>
      <scheme val="minor"/>
    </font>
    <font>
      <b/>
      <sz val="12"/>
      <color theme="5"/>
      <name val="Palatino Linotype"/>
      <scheme val="minor"/>
    </font>
    <font>
      <sz val="12"/>
      <color theme="5" tint="0.79998168889431442"/>
      <name val="Palatino Linotype"/>
      <scheme val="minor"/>
    </font>
    <font>
      <sz val="12"/>
      <color theme="6" tint="0.79998168889431442"/>
      <name val="Palatino Linotype"/>
      <scheme val="minor"/>
    </font>
    <font>
      <b/>
      <sz val="12"/>
      <color theme="6"/>
      <name val="Palatino Linotype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59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2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10" fontId="5" fillId="0" borderId="0" xfId="0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9" fontId="0" fillId="0" borderId="0" xfId="2" applyFont="1"/>
    <xf numFmtId="10" fontId="0" fillId="0" borderId="0" xfId="2" applyNumberFormat="1" applyFont="1"/>
    <xf numFmtId="166" fontId="0" fillId="0" borderId="0" xfId="1" applyNumberFormat="1" applyFont="1"/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/>
    <xf numFmtId="0" fontId="3" fillId="0" borderId="0" xfId="5" applyFill="1"/>
    <xf numFmtId="0" fontId="9" fillId="0" borderId="0" xfId="5" applyFont="1" applyFill="1"/>
    <xf numFmtId="2" fontId="9" fillId="0" borderId="0" xfId="5" applyNumberFormat="1" applyFont="1" applyFill="1"/>
    <xf numFmtId="0" fontId="9" fillId="0" borderId="0" xfId="0" applyFont="1" applyFill="1"/>
    <xf numFmtId="0" fontId="0" fillId="0" borderId="3" xfId="0" applyFont="1" applyBorder="1" applyAlignment="1">
      <alignment horizontal="left"/>
    </xf>
    <xf numFmtId="166" fontId="14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  <xf numFmtId="9" fontId="14" fillId="0" borderId="0" xfId="2" applyFont="1" applyAlignment="1">
      <alignment horizontal="center"/>
    </xf>
    <xf numFmtId="166" fontId="0" fillId="0" borderId="0" xfId="1" applyNumberFormat="1" applyFont="1" applyAlignment="1"/>
    <xf numFmtId="166" fontId="0" fillId="0" borderId="3" xfId="1" applyNumberFormat="1" applyFont="1" applyBorder="1" applyAlignment="1"/>
    <xf numFmtId="9" fontId="0" fillId="0" borderId="3" xfId="2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166" fontId="14" fillId="0" borderId="0" xfId="1" applyNumberFormat="1" applyFont="1" applyAlignment="1"/>
    <xf numFmtId="43" fontId="0" fillId="0" borderId="0" xfId="1" applyNumberFormat="1" applyFont="1" applyAlignment="1"/>
    <xf numFmtId="43" fontId="0" fillId="0" borderId="3" xfId="1" applyNumberFormat="1" applyFont="1" applyBorder="1" applyAlignment="1"/>
    <xf numFmtId="43" fontId="14" fillId="0" borderId="0" xfId="1" applyNumberFormat="1" applyFont="1" applyAlignment="1"/>
    <xf numFmtId="0" fontId="10" fillId="0" borderId="0" xfId="0" applyFont="1" applyAlignment="1">
      <alignment horizontal="center"/>
    </xf>
    <xf numFmtId="166" fontId="18" fillId="0" borderId="0" xfId="0" applyNumberFormat="1" applyFont="1" applyAlignment="1">
      <alignment horizontal="center"/>
    </xf>
    <xf numFmtId="166" fontId="10" fillId="0" borderId="0" xfId="1" applyNumberFormat="1" applyFont="1" applyAlignment="1"/>
    <xf numFmtId="166" fontId="10" fillId="0" borderId="3" xfId="1" applyNumberFormat="1" applyFont="1" applyBorder="1" applyAlignment="1"/>
    <xf numFmtId="166" fontId="18" fillId="0" borderId="0" xfId="1" applyNumberFormat="1" applyFont="1" applyAlignment="1"/>
    <xf numFmtId="9" fontId="10" fillId="0" borderId="0" xfId="2" applyFont="1" applyAlignment="1">
      <alignment horizontal="center"/>
    </xf>
    <xf numFmtId="9" fontId="10" fillId="0" borderId="3" xfId="2" applyFont="1" applyBorder="1" applyAlignment="1">
      <alignment horizontal="center"/>
    </xf>
    <xf numFmtId="9" fontId="18" fillId="0" borderId="0" xfId="2" applyFont="1" applyAlignment="1">
      <alignment horizontal="center"/>
    </xf>
    <xf numFmtId="0" fontId="10" fillId="0" borderId="3" xfId="0" applyFont="1" applyBorder="1" applyAlignment="1">
      <alignment horizontal="center"/>
    </xf>
    <xf numFmtId="43" fontId="10" fillId="0" borderId="0" xfId="1" applyNumberFormat="1" applyFont="1" applyAlignment="1"/>
    <xf numFmtId="43" fontId="10" fillId="0" borderId="3" xfId="1" applyNumberFormat="1" applyFont="1" applyBorder="1" applyAlignment="1"/>
    <xf numFmtId="43" fontId="18" fillId="0" borderId="0" xfId="1" applyNumberFormat="1" applyFont="1" applyAlignment="1"/>
    <xf numFmtId="0" fontId="10" fillId="0" borderId="0" xfId="0" applyFont="1"/>
    <xf numFmtId="0" fontId="10" fillId="0" borderId="3" xfId="0" applyFont="1" applyBorder="1"/>
    <xf numFmtId="0" fontId="17" fillId="0" borderId="3" xfId="0" applyFont="1" applyBorder="1" applyAlignment="1">
      <alignment horizontal="center"/>
    </xf>
    <xf numFmtId="9" fontId="18" fillId="0" borderId="6" xfId="2" applyFont="1" applyBorder="1" applyAlignment="1">
      <alignment horizontal="center"/>
    </xf>
    <xf numFmtId="43" fontId="18" fillId="0" borderId="6" xfId="1" applyNumberFormat="1" applyFont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6" fontId="2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21" fillId="0" borderId="0" xfId="1" applyNumberFormat="1" applyFont="1" applyAlignment="1"/>
    <xf numFmtId="9" fontId="5" fillId="0" borderId="0" xfId="2" applyFont="1" applyAlignment="1">
      <alignment horizontal="center"/>
    </xf>
    <xf numFmtId="9" fontId="5" fillId="0" borderId="3" xfId="2" applyFont="1" applyBorder="1" applyAlignment="1">
      <alignment horizontal="center"/>
    </xf>
    <xf numFmtId="9" fontId="21" fillId="0" borderId="0" xfId="2" applyFont="1" applyAlignment="1">
      <alignment horizontal="center"/>
    </xf>
    <xf numFmtId="43" fontId="5" fillId="0" borderId="0" xfId="1" applyNumberFormat="1" applyFont="1" applyAlignment="1"/>
    <xf numFmtId="43" fontId="5" fillId="0" borderId="3" xfId="1" applyNumberFormat="1" applyFont="1" applyBorder="1" applyAlignment="1"/>
    <xf numFmtId="166" fontId="21" fillId="0" borderId="6" xfId="1" applyNumberFormat="1" applyFont="1" applyBorder="1" applyAlignment="1"/>
    <xf numFmtId="9" fontId="21" fillId="0" borderId="6" xfId="2" applyFont="1" applyBorder="1" applyAlignment="1">
      <alignment horizontal="center"/>
    </xf>
    <xf numFmtId="43" fontId="21" fillId="0" borderId="6" xfId="1" applyNumberFormat="1" applyFont="1" applyBorder="1" applyAlignment="1"/>
    <xf numFmtId="166" fontId="18" fillId="0" borderId="6" xfId="1" applyNumberFormat="1" applyFont="1" applyBorder="1" applyAlignment="1"/>
    <xf numFmtId="0" fontId="19" fillId="8" borderId="0" xfId="0" applyFont="1" applyFill="1" applyAlignment="1">
      <alignment horizontal="center"/>
    </xf>
    <xf numFmtId="0" fontId="20" fillId="9" borderId="0" xfId="0" applyFont="1" applyFill="1" applyAlignment="1">
      <alignment horizontal="center"/>
    </xf>
    <xf numFmtId="43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166" fontId="18" fillId="0" borderId="0" xfId="1" applyNumberFormat="1" applyFont="1" applyBorder="1" applyAlignment="1"/>
    <xf numFmtId="166" fontId="21" fillId="0" borderId="0" xfId="1" applyNumberFormat="1" applyFont="1" applyBorder="1" applyAlignment="1"/>
    <xf numFmtId="166" fontId="14" fillId="0" borderId="6" xfId="1" applyNumberFormat="1" applyFont="1" applyBorder="1" applyAlignment="1"/>
    <xf numFmtId="164" fontId="0" fillId="0" borderId="0" xfId="2" applyNumberFormat="1" applyFont="1"/>
    <xf numFmtId="43" fontId="0" fillId="0" borderId="0" xfId="1" applyNumberFormat="1" applyFont="1" applyAlignment="1">
      <alignment horizontal="center"/>
    </xf>
    <xf numFmtId="43" fontId="0" fillId="0" borderId="3" xfId="1" applyNumberFormat="1" applyFont="1" applyBorder="1" applyAlignment="1">
      <alignment horizontal="center"/>
    </xf>
    <xf numFmtId="43" fontId="10" fillId="0" borderId="0" xfId="1" applyNumberFormat="1" applyFont="1" applyAlignment="1">
      <alignment horizontal="center"/>
    </xf>
    <xf numFmtId="43" fontId="10" fillId="0" borderId="3" xfId="1" applyNumberFormat="1" applyFont="1" applyBorder="1" applyAlignment="1">
      <alignment horizontal="center"/>
    </xf>
    <xf numFmtId="43" fontId="5" fillId="0" borderId="0" xfId="1" applyNumberFormat="1" applyFont="1" applyAlignment="1">
      <alignment horizontal="center"/>
    </xf>
    <xf numFmtId="43" fontId="5" fillId="0" borderId="3" xfId="1" applyNumberFormat="1" applyFont="1" applyBorder="1" applyAlignment="1">
      <alignment horizontal="center"/>
    </xf>
  </cellXfs>
  <cellStyles count="459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26.2590044692575</c:v>
                </c:pt>
                <c:pt idx="1">
                  <c:v>22.5223923752191</c:v>
                </c:pt>
                <c:pt idx="2">
                  <c:v>25.77001097178278</c:v>
                </c:pt>
                <c:pt idx="3">
                  <c:v>26.25809014301671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9.793114730797677</c:v>
                </c:pt>
                <c:pt idx="1">
                  <c:v>8.39957100433062</c:v>
                </c:pt>
                <c:pt idx="2">
                  <c:v>9.610747976224393</c:v>
                </c:pt>
                <c:pt idx="3">
                  <c:v>9.792773739128025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9.793114730797677</c:v>
                </c:pt>
                <c:pt idx="1">
                  <c:v>6.386920174307438</c:v>
                </c:pt>
                <c:pt idx="2">
                  <c:v>7.307882760665313</c:v>
                </c:pt>
                <c:pt idx="3">
                  <c:v>7.446292688592998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043768"/>
        <c:axId val="2130046744"/>
      </c:barChart>
      <c:catAx>
        <c:axId val="213004376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30046744"/>
        <c:crosses val="autoZero"/>
        <c:auto val="1"/>
        <c:lblAlgn val="ctr"/>
        <c:lblOffset val="100"/>
        <c:noMultiLvlLbl val="0"/>
      </c:catAx>
      <c:valAx>
        <c:axId val="213004674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300437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26.2590044692575</c:v>
                </c:pt>
                <c:pt idx="1">
                  <c:v>22.5223923752191</c:v>
                </c:pt>
                <c:pt idx="2">
                  <c:v>25.77001097178278</c:v>
                </c:pt>
                <c:pt idx="3">
                  <c:v>26.25809014301671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9.793114730797677</c:v>
                </c:pt>
                <c:pt idx="1">
                  <c:v>8.39957100433062</c:v>
                </c:pt>
                <c:pt idx="2">
                  <c:v>9.610747976224393</c:v>
                </c:pt>
                <c:pt idx="3">
                  <c:v>9.792773739128025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9.793114730797677</c:v>
                </c:pt>
                <c:pt idx="1">
                  <c:v>6.386920174307438</c:v>
                </c:pt>
                <c:pt idx="2">
                  <c:v>7.307882760665313</c:v>
                </c:pt>
                <c:pt idx="3">
                  <c:v>7.446292688592998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087752"/>
        <c:axId val="2130090728"/>
      </c:barChart>
      <c:catAx>
        <c:axId val="2130087752"/>
        <c:scaling>
          <c:orientation val="minMax"/>
        </c:scaling>
        <c:delete val="0"/>
        <c:axPos val="l"/>
        <c:majorTickMark val="out"/>
        <c:minorTickMark val="none"/>
        <c:tickLblPos val="nextTo"/>
        <c:crossAx val="2130090728"/>
        <c:crosses val="autoZero"/>
        <c:auto val="1"/>
        <c:lblAlgn val="ctr"/>
        <c:lblOffset val="100"/>
        <c:noMultiLvlLbl val="0"/>
      </c:catAx>
      <c:valAx>
        <c:axId val="2130090728"/>
        <c:scaling>
          <c:orientation val="minMax"/>
        </c:scaling>
        <c:delete val="0"/>
        <c:axPos val="b"/>
        <c:majorGridlines/>
        <c:numFmt formatCode="_-* #,##0.00_-;\-* #,##0.00_-;_-* &quot;-&quot;??_-;_-@_-" sourceLinked="1"/>
        <c:majorTickMark val="out"/>
        <c:minorTickMark val="none"/>
        <c:tickLblPos val="nextTo"/>
        <c:crossAx val="2130087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SUMMARY!$C$5:$K$5</c:f>
              <c:numCache>
                <c:formatCode>_-* #,##0.00_-;\-* #,##0.00_-;_-* "-"??_-;_-@_-</c:formatCode>
                <c:ptCount val="9"/>
                <c:pt idx="0">
                  <c:v>26.2590044692575</c:v>
                </c:pt>
                <c:pt idx="1">
                  <c:v>22.5223923752191</c:v>
                </c:pt>
                <c:pt idx="2">
                  <c:v>25.77001097178278</c:v>
                </c:pt>
                <c:pt idx="3">
                  <c:v>26.25809014301671</c:v>
                </c:pt>
                <c:pt idx="6">
                  <c:v>28.31888327782782</c:v>
                </c:pt>
                <c:pt idx="7">
                  <c:v>26.73239105332888</c:v>
                </c:pt>
                <c:pt idx="8">
                  <c:v>26.25969135145325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SUMMARY!$C$6:$K$6</c:f>
              <c:numCache>
                <c:formatCode>_-* #,##0.00_-;\-* #,##0.00_-;_-* "-"??_-;_-@_-</c:formatCode>
                <c:ptCount val="9"/>
                <c:pt idx="0">
                  <c:v>9.793114730797677</c:v>
                </c:pt>
                <c:pt idx="1">
                  <c:v>8.39957100433062</c:v>
                </c:pt>
                <c:pt idx="2">
                  <c:v>9.610747976224393</c:v>
                </c:pt>
                <c:pt idx="3">
                  <c:v>9.792773739128025</c:v>
                </c:pt>
                <c:pt idx="6">
                  <c:v>5.650457244614921</c:v>
                </c:pt>
                <c:pt idx="7">
                  <c:v>9.14520261040075</c:v>
                </c:pt>
                <c:pt idx="8">
                  <c:v>9.791594324103767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SUMMARY!$C$7:$K$7</c:f>
              <c:numCache>
                <c:formatCode>_-* #,##0.00_-;\-* #,##0.00_-;_-* "-"??_-;_-@_-</c:formatCode>
                <c:ptCount val="9"/>
                <c:pt idx="0">
                  <c:v>9.793114730797677</c:v>
                </c:pt>
                <c:pt idx="1">
                  <c:v>6.386920174307438</c:v>
                </c:pt>
                <c:pt idx="2">
                  <c:v>7.307882760665313</c:v>
                </c:pt>
                <c:pt idx="3">
                  <c:v>7.446292688592998</c:v>
                </c:pt>
                <c:pt idx="6">
                  <c:v>81.17616644379103</c:v>
                </c:pt>
                <c:pt idx="7">
                  <c:v>7.29237746095705</c:v>
                </c:pt>
                <c:pt idx="8">
                  <c:v>7.44678808606013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30122328"/>
        <c:axId val="2130125304"/>
      </c:barChart>
      <c:catAx>
        <c:axId val="213012232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30125304"/>
        <c:crosses val="autoZero"/>
        <c:auto val="1"/>
        <c:lblAlgn val="ctr"/>
        <c:lblOffset val="100"/>
        <c:noMultiLvlLbl val="0"/>
      </c:catAx>
      <c:valAx>
        <c:axId val="213012530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301223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Selectivities!$D$4</c:f>
              <c:strCache>
                <c:ptCount val="1"/>
                <c:pt idx="0">
                  <c:v>Sport</c:v>
                </c:pt>
              </c:strCache>
            </c:strRef>
          </c:tx>
          <c:marker>
            <c:symbol val="none"/>
          </c:marker>
          <c:val>
            <c:numRef>
              <c:f>Selectivities!$E$4:$AH$4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0.000347471</c:v>
                </c:pt>
                <c:pt idx="2">
                  <c:v>0.00335518</c:v>
                </c:pt>
                <c:pt idx="3">
                  <c:v>0.0221787</c:v>
                </c:pt>
                <c:pt idx="4">
                  <c:v>0.100359</c:v>
                </c:pt>
                <c:pt idx="5">
                  <c:v>0.310866</c:v>
                </c:pt>
                <c:pt idx="6">
                  <c:v>0.659157</c:v>
                </c:pt>
                <c:pt idx="7">
                  <c:v>0.956812</c:v>
                </c:pt>
                <c:pt idx="8">
                  <c:v>0.999939</c:v>
                </c:pt>
                <c:pt idx="9">
                  <c:v>0.997634</c:v>
                </c:pt>
                <c:pt idx="10">
                  <c:v>0.877745</c:v>
                </c:pt>
                <c:pt idx="11">
                  <c:v>0.702508</c:v>
                </c:pt>
                <c:pt idx="12">
                  <c:v>0.601391</c:v>
                </c:pt>
                <c:pt idx="13">
                  <c:v>0.5703</c:v>
                </c:pt>
                <c:pt idx="14">
                  <c:v>0.564815</c:v>
                </c:pt>
                <c:pt idx="15">
                  <c:v>0.564243</c:v>
                </c:pt>
                <c:pt idx="16">
                  <c:v>0.564207</c:v>
                </c:pt>
                <c:pt idx="17">
                  <c:v>0.564206</c:v>
                </c:pt>
                <c:pt idx="18">
                  <c:v>0.564206</c:v>
                </c:pt>
                <c:pt idx="19">
                  <c:v>0.564206</c:v>
                </c:pt>
                <c:pt idx="20">
                  <c:v>0.564206</c:v>
                </c:pt>
                <c:pt idx="21">
                  <c:v>0.564206</c:v>
                </c:pt>
                <c:pt idx="22">
                  <c:v>0.564206</c:v>
                </c:pt>
                <c:pt idx="23">
                  <c:v>0.564206</c:v>
                </c:pt>
                <c:pt idx="24">
                  <c:v>0.564206</c:v>
                </c:pt>
                <c:pt idx="25">
                  <c:v>0.564206</c:v>
                </c:pt>
                <c:pt idx="26">
                  <c:v>0.564206</c:v>
                </c:pt>
                <c:pt idx="27">
                  <c:v>0.564206</c:v>
                </c:pt>
                <c:pt idx="28">
                  <c:v>0.564206</c:v>
                </c:pt>
                <c:pt idx="29">
                  <c:v>0.564206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Selectivities!$D$11</c:f>
              <c:strCache>
                <c:ptCount val="1"/>
                <c:pt idx="0">
                  <c:v>Flt3_</c:v>
                </c:pt>
              </c:strCache>
            </c:strRef>
          </c:tx>
          <c:marker>
            <c:symbol val="none"/>
          </c:marker>
          <c:val>
            <c:numRef>
              <c:f>Selectivities!$E$11:$AH$11</c:f>
              <c:numCache>
                <c:formatCode>0.00</c:formatCode>
                <c:ptCount val="30"/>
                <c:pt idx="0">
                  <c:v>0.000643347412809042</c:v>
                </c:pt>
                <c:pt idx="1">
                  <c:v>0.00230427414517385</c:v>
                </c:pt>
                <c:pt idx="2">
                  <c:v>0.00823419804267264</c:v>
                </c:pt>
                <c:pt idx="3">
                  <c:v>0.0291576031333828</c:v>
                </c:pt>
                <c:pt idx="4">
                  <c:v>0.0996961432403315</c:v>
                </c:pt>
                <c:pt idx="5">
                  <c:v>0.301847916375743</c:v>
                </c:pt>
                <c:pt idx="6">
                  <c:v>0.668034744861457</c:v>
                </c:pt>
                <c:pt idx="7">
                  <c:v>0.947933388782835</c:v>
                </c:pt>
                <c:pt idx="8">
                  <c:v>0.996474474081027</c:v>
                </c:pt>
                <c:pt idx="9">
                  <c:v>0.935243742877979</c:v>
                </c:pt>
                <c:pt idx="10">
                  <c:v>0.849877235240001</c:v>
                </c:pt>
                <c:pt idx="11">
                  <c:v>0.765857432982346</c:v>
                </c:pt>
                <c:pt idx="12">
                  <c:v>0.688682713380763</c:v>
                </c:pt>
                <c:pt idx="13">
                  <c:v>0.618955125073576</c:v>
                </c:pt>
                <c:pt idx="14">
                  <c:v>0.556213000638314</c:v>
                </c:pt>
                <c:pt idx="15">
                  <c:v>0.556213000638314</c:v>
                </c:pt>
                <c:pt idx="16">
                  <c:v>0.556213000638314</c:v>
                </c:pt>
                <c:pt idx="17">
                  <c:v>0.556213000638314</c:v>
                </c:pt>
                <c:pt idx="18">
                  <c:v>0.556213000638314</c:v>
                </c:pt>
                <c:pt idx="19">
                  <c:v>0.556213000638314</c:v>
                </c:pt>
                <c:pt idx="20">
                  <c:v>0.556213000638314</c:v>
                </c:pt>
                <c:pt idx="21">
                  <c:v>0.556213000638314</c:v>
                </c:pt>
                <c:pt idx="22">
                  <c:v>0.556213000638314</c:v>
                </c:pt>
                <c:pt idx="23">
                  <c:v>0.556213000638314</c:v>
                </c:pt>
                <c:pt idx="24">
                  <c:v>0.556213000638314</c:v>
                </c:pt>
                <c:pt idx="25">
                  <c:v>0.556213000638314</c:v>
                </c:pt>
                <c:pt idx="26">
                  <c:v>0.556213000638314</c:v>
                </c:pt>
                <c:pt idx="27">
                  <c:v>0.556213000638314</c:v>
                </c:pt>
                <c:pt idx="28">
                  <c:v>0.556213000638314</c:v>
                </c:pt>
                <c:pt idx="29">
                  <c:v>0.556213000638314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Selectivities!$D$2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Selectivities!$E$2:$AH$2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344600"/>
        <c:axId val="2130347576"/>
      </c:lineChart>
      <c:catAx>
        <c:axId val="21303446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347576"/>
        <c:crosses val="autoZero"/>
        <c:auto val="1"/>
        <c:lblAlgn val="ctr"/>
        <c:lblOffset val="100"/>
        <c:noMultiLvlLbl val="0"/>
      </c:catAx>
      <c:valAx>
        <c:axId val="21303475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30344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SAA!$C$2</c:f>
              <c:strCache>
                <c:ptCount val="1"/>
                <c:pt idx="0">
                  <c:v>Wa</c:v>
                </c:pt>
              </c:strCache>
            </c:strRef>
          </c:tx>
          <c:marker>
            <c:symbol val="none"/>
          </c:marker>
          <c:val>
            <c:numRef>
              <c:f>SAA!$D$2:$AG$2</c:f>
              <c:numCache>
                <c:formatCode>General</c:formatCode>
                <c:ptCount val="30"/>
                <c:pt idx="0">
                  <c:v>0.94</c:v>
                </c:pt>
                <c:pt idx="1">
                  <c:v>1.87</c:v>
                </c:pt>
                <c:pt idx="2">
                  <c:v>2.81</c:v>
                </c:pt>
                <c:pt idx="3">
                  <c:v>3.75</c:v>
                </c:pt>
                <c:pt idx="4">
                  <c:v>4.69</c:v>
                </c:pt>
                <c:pt idx="5">
                  <c:v>5.62</c:v>
                </c:pt>
                <c:pt idx="6">
                  <c:v>6.56</c:v>
                </c:pt>
                <c:pt idx="7">
                  <c:v>7.32</c:v>
                </c:pt>
                <c:pt idx="8">
                  <c:v>8.61</c:v>
                </c:pt>
                <c:pt idx="9">
                  <c:v>10.94</c:v>
                </c:pt>
                <c:pt idx="10">
                  <c:v>14.14</c:v>
                </c:pt>
                <c:pt idx="11">
                  <c:v>17.64</c:v>
                </c:pt>
                <c:pt idx="12">
                  <c:v>19.92</c:v>
                </c:pt>
                <c:pt idx="13">
                  <c:v>22.6</c:v>
                </c:pt>
                <c:pt idx="14">
                  <c:v>24.53</c:v>
                </c:pt>
                <c:pt idx="15">
                  <c:v>30.09</c:v>
                </c:pt>
                <c:pt idx="16">
                  <c:v>34.26</c:v>
                </c:pt>
                <c:pt idx="17">
                  <c:v>33.23</c:v>
                </c:pt>
                <c:pt idx="18">
                  <c:v>42.13</c:v>
                </c:pt>
                <c:pt idx="19">
                  <c:v>39.68</c:v>
                </c:pt>
                <c:pt idx="20">
                  <c:v>35.66</c:v>
                </c:pt>
                <c:pt idx="21">
                  <c:v>46.31</c:v>
                </c:pt>
                <c:pt idx="22">
                  <c:v>48.46</c:v>
                </c:pt>
                <c:pt idx="23">
                  <c:v>47.26</c:v>
                </c:pt>
                <c:pt idx="24">
                  <c:v>49.13</c:v>
                </c:pt>
                <c:pt idx="25">
                  <c:v>51.0</c:v>
                </c:pt>
                <c:pt idx="26">
                  <c:v>52.87</c:v>
                </c:pt>
                <c:pt idx="27">
                  <c:v>54.74</c:v>
                </c:pt>
                <c:pt idx="28">
                  <c:v>56.61</c:v>
                </c:pt>
                <c:pt idx="29">
                  <c:v>58.48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SAA!$C$3</c:f>
              <c:strCache>
                <c:ptCount val="1"/>
                <c:pt idx="0">
                  <c:v>Wa_hat</c:v>
                </c:pt>
              </c:strCache>
            </c:strRef>
          </c:tx>
          <c:marker>
            <c:symbol val="none"/>
          </c:marker>
          <c:val>
            <c:numRef>
              <c:f>SAA!$D$3:$AG$3</c:f>
              <c:numCache>
                <c:formatCode>General</c:formatCode>
                <c:ptCount val="30"/>
                <c:pt idx="0">
                  <c:v>0.051195958452201</c:v>
                </c:pt>
                <c:pt idx="1">
                  <c:v>0.293426547002952</c:v>
                </c:pt>
                <c:pt idx="2">
                  <c:v>0.819336820716452</c:v>
                </c:pt>
                <c:pt idx="3">
                  <c:v>1.670981082326464</c:v>
                </c:pt>
                <c:pt idx="4">
                  <c:v>2.855887017507196</c:v>
                </c:pt>
                <c:pt idx="5">
                  <c:v>4.358800147502431</c:v>
                </c:pt>
                <c:pt idx="6">
                  <c:v>6.150262831844201</c:v>
                </c:pt>
                <c:pt idx="7">
                  <c:v>8.19279554805306</c:v>
                </c:pt>
                <c:pt idx="8">
                  <c:v>10.44527228486035</c:v>
                </c:pt>
                <c:pt idx="9">
                  <c:v>12.86594496174534</c:v>
                </c:pt>
                <c:pt idx="10">
                  <c:v>15.41446537612474</c:v>
                </c:pt>
                <c:pt idx="11">
                  <c:v>18.0531706358767</c:v>
                </c:pt>
                <c:pt idx="12">
                  <c:v>20.74783414032951</c:v>
                </c:pt>
                <c:pt idx="13">
                  <c:v>23.46803483147694</c:v>
                </c:pt>
                <c:pt idx="14">
                  <c:v>26.18725943682872</c:v>
                </c:pt>
                <c:pt idx="15">
                  <c:v>28.88282324904471</c:v>
                </c:pt>
                <c:pt idx="16">
                  <c:v>31.53567266506708</c:v>
                </c:pt>
                <c:pt idx="17">
                  <c:v>34.13011569814607</c:v>
                </c:pt>
                <c:pt idx="18">
                  <c:v>36.65351377654532</c:v>
                </c:pt>
                <c:pt idx="19">
                  <c:v>39.09595841409763</c:v>
                </c:pt>
                <c:pt idx="20">
                  <c:v>41.44994904896174</c:v>
                </c:pt>
                <c:pt idx="21">
                  <c:v>43.71008292927741</c:v>
                </c:pt>
                <c:pt idx="22">
                  <c:v>45.87276393651164</c:v>
                </c:pt>
                <c:pt idx="23">
                  <c:v>47.93593433717436</c:v>
                </c:pt>
                <c:pt idx="24">
                  <c:v>49.89883137693576</c:v>
                </c:pt>
                <c:pt idx="25">
                  <c:v>51.76176917423702</c:v>
                </c:pt>
                <c:pt idx="26">
                  <c:v>53.5259453766138</c:v>
                </c:pt>
                <c:pt idx="27">
                  <c:v>55.19327139216031</c:v>
                </c:pt>
                <c:pt idx="28">
                  <c:v>56.76622460928558</c:v>
                </c:pt>
                <c:pt idx="29">
                  <c:v>58.2477208005931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387448"/>
        <c:axId val="2130390424"/>
      </c:lineChart>
      <c:catAx>
        <c:axId val="2130387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390424"/>
        <c:crosses val="autoZero"/>
        <c:auto val="1"/>
        <c:lblAlgn val="ctr"/>
        <c:lblOffset val="100"/>
        <c:noMultiLvlLbl val="0"/>
      </c:catAx>
      <c:valAx>
        <c:axId val="2130390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387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33</xdr:row>
      <xdr:rowOff>127000</xdr:rowOff>
    </xdr:from>
    <xdr:to>
      <xdr:col>19</xdr:col>
      <xdr:colOff>241300</xdr:colOff>
      <xdr:row>45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48</xdr:row>
      <xdr:rowOff>76200</xdr:rowOff>
    </xdr:from>
    <xdr:to>
      <xdr:col>18</xdr:col>
      <xdr:colOff>673100</xdr:colOff>
      <xdr:row>60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12</xdr:row>
      <xdr:rowOff>63500</xdr:rowOff>
    </xdr:from>
    <xdr:to>
      <xdr:col>26</xdr:col>
      <xdr:colOff>152400</xdr:colOff>
      <xdr:row>48</xdr:row>
      <xdr:rowOff>215900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14</xdr:row>
      <xdr:rowOff>215900</xdr:rowOff>
    </xdr:from>
    <xdr:to>
      <xdr:col>11</xdr:col>
      <xdr:colOff>406400</xdr:colOff>
      <xdr:row>26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152400</xdr:colOff>
      <xdr:row>12</xdr:row>
      <xdr:rowOff>127000</xdr:rowOff>
    </xdr:from>
    <xdr:to>
      <xdr:col>25</xdr:col>
      <xdr:colOff>596900</xdr:colOff>
      <xdr:row>24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"/>
  <sheetViews>
    <sheetView topLeftCell="A8" zoomScale="125" zoomScaleNormal="125" zoomScalePageLayoutView="125" workbookViewId="0">
      <selection activeCell="D29" sqref="D29:D31"/>
    </sheetView>
  </sheetViews>
  <sheetFormatPr baseColWidth="10" defaultRowHeight="18" x14ac:dyDescent="0"/>
  <cols>
    <col min="2" max="2" width="38.83203125" customWidth="1"/>
    <col min="3" max="4" width="13.1640625" style="3" customWidth="1"/>
    <col min="5" max="5" width="13.1640625" style="86" customWidth="1"/>
    <col min="6" max="6" width="13.1640625" customWidth="1"/>
    <col min="7" max="8" width="4" customWidth="1"/>
    <col min="9" max="12" width="13.1640625" customWidth="1"/>
  </cols>
  <sheetData>
    <row r="3" spans="2:13">
      <c r="D3" s="107" t="s">
        <v>138</v>
      </c>
      <c r="E3" s="107"/>
      <c r="F3" s="107"/>
      <c r="I3" s="108" t="s">
        <v>139</v>
      </c>
      <c r="J3" s="108"/>
      <c r="K3" s="108"/>
    </row>
    <row r="4" spans="2:13">
      <c r="B4" s="62" t="s">
        <v>134</v>
      </c>
      <c r="C4" s="51" t="s">
        <v>115</v>
      </c>
      <c r="D4" s="82" t="s">
        <v>137</v>
      </c>
      <c r="E4" s="87" t="s">
        <v>140</v>
      </c>
      <c r="F4" s="87" t="s">
        <v>136</v>
      </c>
      <c r="I4" s="91" t="s">
        <v>137</v>
      </c>
      <c r="J4" s="92" t="s">
        <v>140</v>
      </c>
      <c r="K4" s="92" t="s">
        <v>136</v>
      </c>
    </row>
    <row r="5" spans="2:13">
      <c r="B5" s="8" t="s">
        <v>106</v>
      </c>
      <c r="C5" s="116">
        <f ca="1">'Status Quo'!ye_1/1000</f>
        <v>26.259004469257498</v>
      </c>
      <c r="D5" s="118">
        <f ca="1">'Excluders (1)'!ye_1/1000</f>
        <v>22.522392375219098</v>
      </c>
      <c r="E5" s="118">
        <f ca="1">'No Size Limit (1)'!ye_1/1000</f>
        <v>25.770010971782781</v>
      </c>
      <c r="F5" s="118">
        <f ca="1">'Reduce DMR (1)'!ye_1/1000</f>
        <v>26.258090143016712</v>
      </c>
      <c r="I5" s="120">
        <f ca="1">'Excluders (2)'!ye_1/1000</f>
        <v>28.318883277827815</v>
      </c>
      <c r="J5" s="120">
        <f ca="1">'No Size Limit (2)'!ye_1/1000</f>
        <v>26.732391053328882</v>
      </c>
      <c r="K5" s="120">
        <f ca="1">'Reduce DMR (2)'!ye_1/1000</f>
        <v>26.259691351453252</v>
      </c>
    </row>
    <row r="6" spans="2:13">
      <c r="B6" s="8" t="s">
        <v>107</v>
      </c>
      <c r="C6" s="116">
        <f ca="1">'Status Quo'!ye_2/1000</f>
        <v>9.7931147307976776</v>
      </c>
      <c r="D6" s="118">
        <f ca="1">'Excluders (1)'!ye_2/1000</f>
        <v>8.3995710043306193</v>
      </c>
      <c r="E6" s="118">
        <f ca="1">'No Size Limit (1)'!ye_2/1000</f>
        <v>9.6107479762243937</v>
      </c>
      <c r="F6" s="118">
        <f ca="1">'Reduce DMR (1)'!ye_2/1000</f>
        <v>9.792773739128025</v>
      </c>
      <c r="I6" s="120">
        <f ca="1">'Excluders (2)'!ye_2/1000</f>
        <v>5.6504572446149206</v>
      </c>
      <c r="J6" s="120">
        <f ca="1">'No Size Limit (2)'!ye_2/1000</f>
        <v>9.1452026104007498</v>
      </c>
      <c r="K6" s="120">
        <f ca="1">'Reduce DMR (2)'!ye_2/1000</f>
        <v>9.7915943241037677</v>
      </c>
    </row>
    <row r="7" spans="2:13">
      <c r="B7" s="49" t="s">
        <v>108</v>
      </c>
      <c r="C7" s="117">
        <f ca="1">'Status Quo'!ye_2/1000</f>
        <v>9.7931147307976776</v>
      </c>
      <c r="D7" s="119">
        <f ca="1">'Excluders (1)'!ye_3/1000</f>
        <v>6.3869201743074377</v>
      </c>
      <c r="E7" s="119">
        <f ca="1">'No Size Limit (1)'!ye_3/1000</f>
        <v>7.3078827606653132</v>
      </c>
      <c r="F7" s="119">
        <f ca="1">'Reduce DMR (1)'!ye_3/1000</f>
        <v>7.4462926885929983</v>
      </c>
      <c r="I7" s="121">
        <f ca="1">'Excluders (2)'!ye_3/100</f>
        <v>81.176166443791033</v>
      </c>
      <c r="J7" s="121">
        <f ca="1">'No Size Limit (2)'!ye_3/1000</f>
        <v>7.2923774609570504</v>
      </c>
      <c r="K7" s="121">
        <f ca="1">'Reduce DMR (2)'!ye_3/1000</f>
        <v>7.4467880860601294</v>
      </c>
    </row>
    <row r="8" spans="2:13">
      <c r="B8" s="48" t="s">
        <v>72</v>
      </c>
      <c r="C8" s="63">
        <f ca="1">SUM(C5:C7)</f>
        <v>45.845233930852849</v>
      </c>
      <c r="D8" s="75">
        <f ca="1">SUM(D5:D7)</f>
        <v>37.308883553857157</v>
      </c>
      <c r="E8" s="75">
        <f ca="1">SUM(E5:E7)</f>
        <v>42.688641708672492</v>
      </c>
      <c r="F8" s="75">
        <f ca="1">SUM(F5:F7)</f>
        <v>43.497156570737737</v>
      </c>
      <c r="I8" s="93">
        <f ca="1">SUM(I5:I7)</f>
        <v>115.14550696623377</v>
      </c>
      <c r="J8" s="93">
        <f ca="1">SUM(J5:J7)</f>
        <v>43.169971124686683</v>
      </c>
      <c r="K8" s="93">
        <f ca="1">SUM(K5:K7)</f>
        <v>43.49807376161715</v>
      </c>
      <c r="M8" t="s">
        <v>141</v>
      </c>
    </row>
    <row r="9" spans="2:13">
      <c r="D9" s="74"/>
      <c r="F9" s="86"/>
      <c r="I9" s="94"/>
      <c r="J9" s="17"/>
      <c r="K9" s="17"/>
    </row>
    <row r="10" spans="2:13">
      <c r="B10" s="62" t="s">
        <v>128</v>
      </c>
      <c r="C10" s="88" t="s">
        <v>115</v>
      </c>
      <c r="D10" s="82" t="str">
        <f>D4</f>
        <v>Excluders</v>
      </c>
      <c r="E10" s="82" t="str">
        <f>E4</f>
        <v>Full Retention</v>
      </c>
      <c r="F10" s="87" t="str">
        <f>F4</f>
        <v>Reduce DMR</v>
      </c>
      <c r="I10" s="91" t="str">
        <f>I4</f>
        <v>Excluders</v>
      </c>
      <c r="J10" s="91" t="str">
        <f>J4</f>
        <v>Full Retention</v>
      </c>
      <c r="K10" s="92" t="str">
        <f>K4</f>
        <v>Reduce DMR</v>
      </c>
    </row>
    <row r="11" spans="2:13">
      <c r="B11" s="8" t="s">
        <v>106</v>
      </c>
      <c r="C11" s="66">
        <f ca="1">'Status Quo'!E27/10</f>
        <v>36.850300704631827</v>
      </c>
      <c r="D11" s="76">
        <f ca="1">'Excluders (1)'!E27/10</f>
        <v>24.91016861519347</v>
      </c>
      <c r="E11" s="76">
        <f ca="1">'No Size Limit (1)'!$E27/10</f>
        <v>35.169757467529848</v>
      </c>
      <c r="F11" s="76">
        <f ca="1">'Reduce DMR (1)'!$E27/10</f>
        <v>36.84683851328068</v>
      </c>
      <c r="I11" s="95">
        <f ca="1">'Excluders (2)'!E27/10</f>
        <v>41.040735291014357</v>
      </c>
      <c r="J11" s="95">
        <f ca="1">'No Size Limit (2)'!$E27/10</f>
        <v>37.654762115875712</v>
      </c>
      <c r="K11" s="95">
        <f ca="1">'Reduce DMR (2)'!$E27/10</f>
        <v>36.851137484174714</v>
      </c>
    </row>
    <row r="12" spans="2:13">
      <c r="B12" s="8" t="s">
        <v>107</v>
      </c>
      <c r="C12" s="66">
        <f ca="1">'Status Quo'!E28</f>
        <v>28.970922955021663</v>
      </c>
      <c r="D12" s="76">
        <f ca="1">'Excluders (1)'!E28</f>
        <v>189.25566018924292</v>
      </c>
      <c r="E12" s="76">
        <f ca="1">'No Size Limit (1)'!$E28</f>
        <v>27.226852095521362</v>
      </c>
      <c r="F12" s="76">
        <f ca="1">'Reduce DMR (1)'!$E28</f>
        <v>115.85509458652852</v>
      </c>
      <c r="I12" s="95">
        <f ca="1">'Excluders (2)'!E28</f>
        <v>116.88693173039053</v>
      </c>
      <c r="J12" s="95">
        <f ca="1">'No Size Limit (2)'!$E28</f>
        <v>25.683270353762659</v>
      </c>
      <c r="K12" s="95">
        <f ca="1">'Reduce DMR (2)'!$E28</f>
        <v>115.83914733009671</v>
      </c>
    </row>
    <row r="13" spans="2:13">
      <c r="B13" s="49" t="s">
        <v>108</v>
      </c>
      <c r="C13" s="67">
        <f ca="1">'Status Quo'!E29</f>
        <v>12.347614650949918</v>
      </c>
      <c r="D13" s="77">
        <f ca="1">'Excluders (1)'!E29</f>
        <v>11.808069057199956</v>
      </c>
      <c r="E13" s="77">
        <f ca="1">'No Size Limit (1)'!$E29</f>
        <v>12.101346815595111</v>
      </c>
      <c r="F13" s="76">
        <f ca="1">'Reduce DMR (1)'!$E29</f>
        <v>12.347537216229719</v>
      </c>
      <c r="I13" s="95">
        <f ca="1">'Excluders (2)'!E29</f>
        <v>14.242766185033664</v>
      </c>
      <c r="J13" s="96">
        <f ca="1">'No Size Limit (2)'!$E29</f>
        <v>11.964615316174228</v>
      </c>
      <c r="K13" s="95">
        <f ca="1">'Reduce DMR (2)'!$E29</f>
        <v>12.348140714064108</v>
      </c>
    </row>
    <row r="14" spans="2:13">
      <c r="B14" s="48" t="s">
        <v>72</v>
      </c>
      <c r="C14" s="70">
        <f ca="1">SUM(C11:C13)</f>
        <v>78.168838310603419</v>
      </c>
      <c r="D14" s="78">
        <f ca="1">SUM(D11:D13)</f>
        <v>225.97389786163635</v>
      </c>
      <c r="E14" s="78">
        <f ca="1">SUM(E11:E13)</f>
        <v>74.497956378646322</v>
      </c>
      <c r="F14" s="106">
        <f ca="1">SUM(F11:F13)</f>
        <v>165.04947031603891</v>
      </c>
      <c r="I14" s="103">
        <f ca="1">SUM(I11:I13)</f>
        <v>172.17043320643856</v>
      </c>
      <c r="J14" s="97">
        <f ca="1">SUM(J11:J13)</f>
        <v>75.302647785812596</v>
      </c>
      <c r="K14" s="103">
        <f ca="1">SUM(K11:K13)</f>
        <v>165.03842552833552</v>
      </c>
    </row>
    <row r="15" spans="2:13">
      <c r="B15" s="48"/>
      <c r="C15" s="70"/>
      <c r="D15" s="78"/>
      <c r="E15" s="78"/>
      <c r="F15" s="112"/>
      <c r="I15" s="113"/>
      <c r="J15" s="97"/>
      <c r="K15" s="113"/>
    </row>
    <row r="16" spans="2:13">
      <c r="B16" s="62" t="s">
        <v>144</v>
      </c>
      <c r="C16" s="88" t="s">
        <v>115</v>
      </c>
      <c r="D16" s="82" t="str">
        <f>D10</f>
        <v>Excluders</v>
      </c>
      <c r="E16" s="82" t="str">
        <f>E10</f>
        <v>Full Retention</v>
      </c>
      <c r="F16" s="87" t="str">
        <f>F10</f>
        <v>Reduce DMR</v>
      </c>
      <c r="I16" s="91" t="str">
        <f>I10</f>
        <v>Excluders</v>
      </c>
      <c r="J16" s="91" t="str">
        <f>J10</f>
        <v>Full Retention</v>
      </c>
      <c r="K16" s="92" t="str">
        <f>K10</f>
        <v>Reduce DMR</v>
      </c>
    </row>
    <row r="17" spans="2:11">
      <c r="B17" s="8" t="s">
        <v>106</v>
      </c>
      <c r="C17" s="66">
        <f ca="1">C5/C11</f>
        <v>0.71258589393157712</v>
      </c>
      <c r="D17" s="76">
        <f t="shared" ref="D17:F17" ca="1" si="0">D5/D11</f>
        <v>0.90414451717047017</v>
      </c>
      <c r="E17" s="76">
        <f t="shared" ca="1" si="0"/>
        <v>0.73273212064583337</v>
      </c>
      <c r="F17" s="76">
        <f t="shared" ca="1" si="0"/>
        <v>0.71262803547046583</v>
      </c>
      <c r="I17" s="95">
        <f t="shared" ref="I17:K17" ca="1" si="1">I5/I11</f>
        <v>0.69001890626526075</v>
      </c>
      <c r="J17" s="95">
        <f t="shared" ca="1" si="1"/>
        <v>0.70993387160606114</v>
      </c>
      <c r="K17" s="95">
        <f t="shared" ca="1" si="1"/>
        <v>0.7125883526045883</v>
      </c>
    </row>
    <row r="18" spans="2:11">
      <c r="B18" s="8" t="s">
        <v>107</v>
      </c>
      <c r="C18" s="66">
        <f t="shared" ref="C18:F19" ca="1" si="2">C6/C12</f>
        <v>0.33803254200778549</v>
      </c>
      <c r="D18" s="76">
        <f t="shared" ca="1" si="2"/>
        <v>4.4382138932762244E-2</v>
      </c>
      <c r="E18" s="76">
        <f t="shared" ca="1" si="2"/>
        <v>0.35298784973402408</v>
      </c>
      <c r="F18" s="76">
        <f t="shared" ca="1" si="2"/>
        <v>8.4526051910596908E-2</v>
      </c>
      <c r="I18" s="95">
        <f t="shared" ref="I18:K18" ca="1" si="3">I6/I12</f>
        <v>4.8341223103093953E-2</v>
      </c>
      <c r="J18" s="95">
        <f t="shared" ca="1" si="3"/>
        <v>0.35607625058780557</v>
      </c>
      <c r="K18" s="95">
        <f t="shared" ca="1" si="3"/>
        <v>8.452750689023561E-2</v>
      </c>
    </row>
    <row r="19" spans="2:11">
      <c r="B19" s="49" t="s">
        <v>108</v>
      </c>
      <c r="C19" s="66">
        <f t="shared" ca="1" si="2"/>
        <v>0.79311794282827575</v>
      </c>
      <c r="D19" s="76">
        <f t="shared" ca="1" si="2"/>
        <v>0.54089454790349656</v>
      </c>
      <c r="E19" s="76">
        <f t="shared" ca="1" si="2"/>
        <v>0.60389003571466782</v>
      </c>
      <c r="F19" s="76">
        <f t="shared" ca="1" si="2"/>
        <v>0.60305893865260196</v>
      </c>
      <c r="I19" s="95">
        <f t="shared" ref="I19:K19" ca="1" si="4">I7/I13</f>
        <v>5.699466338855661</v>
      </c>
      <c r="J19" s="95">
        <f t="shared" ca="1" si="4"/>
        <v>0.60949535511592534</v>
      </c>
      <c r="K19" s="95">
        <f t="shared" ca="1" si="4"/>
        <v>0.60306958419889833</v>
      </c>
    </row>
    <row r="20" spans="2:11">
      <c r="B20" s="48" t="s">
        <v>131</v>
      </c>
      <c r="C20" s="114">
        <f ca="1">AVERAGE(C17:C19)</f>
        <v>0.61457879292254614</v>
      </c>
      <c r="D20" s="106">
        <f t="shared" ref="D20:F20" ca="1" si="5">AVERAGE(D17:D19)</f>
        <v>0.49647373466890965</v>
      </c>
      <c r="E20" s="106">
        <f t="shared" ca="1" si="5"/>
        <v>0.5632033353648418</v>
      </c>
      <c r="F20" s="106">
        <f t="shared" ca="1" si="5"/>
        <v>0.4667376753445549</v>
      </c>
      <c r="I20" s="103">
        <f t="shared" ref="I20" ca="1" si="6">AVERAGE(I17:I19)</f>
        <v>2.1459421560746716</v>
      </c>
      <c r="J20" s="103">
        <f t="shared" ref="J20" ca="1" si="7">AVERAGE(J17:J19)</f>
        <v>0.55850182576993068</v>
      </c>
      <c r="K20" s="103">
        <f t="shared" ref="K20" ca="1" si="8">AVERAGE(K17:K19)</f>
        <v>0.46672848123124072</v>
      </c>
    </row>
    <row r="21" spans="2:11">
      <c r="D21" s="74"/>
      <c r="F21" s="86"/>
      <c r="I21" s="94"/>
      <c r="J21" s="17"/>
      <c r="K21" s="17"/>
    </row>
    <row r="22" spans="2:11">
      <c r="B22" s="69" t="s">
        <v>132</v>
      </c>
      <c r="C22" s="88" t="s">
        <v>115</v>
      </c>
      <c r="D22" s="82" t="str">
        <f>D4</f>
        <v>Excluders</v>
      </c>
      <c r="E22" s="82" t="str">
        <f>E4</f>
        <v>Full Retention</v>
      </c>
      <c r="F22" s="87" t="str">
        <f>F4</f>
        <v>Reduce DMR</v>
      </c>
      <c r="I22" s="91" t="str">
        <f>I4</f>
        <v>Excluders</v>
      </c>
      <c r="J22" s="91" t="str">
        <f>J4</f>
        <v>Full Retention</v>
      </c>
      <c r="K22" s="92" t="str">
        <f>K4</f>
        <v>Reduce DMR</v>
      </c>
    </row>
    <row r="23" spans="2:11">
      <c r="B23" s="8" t="s">
        <v>106</v>
      </c>
      <c r="C23" s="64">
        <f ca="1">'Status Quo'!C4</f>
        <v>0.60367371601208453</v>
      </c>
      <c r="D23" s="79">
        <f ca="1">'Excluders (1)'!C4</f>
        <v>0.60367371601208464</v>
      </c>
      <c r="E23" s="79">
        <f ca="1">'No Size Limit (1)'!$C4</f>
        <v>0.60367371601208464</v>
      </c>
      <c r="F23" s="79">
        <f ca="1">'Reduce DMR (1)'!$C4</f>
        <v>0.60367371601208453</v>
      </c>
      <c r="I23" s="98">
        <f ca="1">'Excluders (2)'!C4</f>
        <v>0.67286601798222379</v>
      </c>
      <c r="J23" s="98">
        <f ca="1">'No Size Limit (2)'!$C4</f>
        <v>0.61923578721232941</v>
      </c>
      <c r="K23" s="98">
        <f ca="1">'Reduce DMR (2)'!$C4</f>
        <v>0.60369779809939295</v>
      </c>
    </row>
    <row r="24" spans="2:11">
      <c r="B24" s="8" t="s">
        <v>107</v>
      </c>
      <c r="C24" s="64">
        <f ca="1">'Status Quo'!C5</f>
        <v>0.22513595166163136</v>
      </c>
      <c r="D24" s="79">
        <f ca="1">'Excluders (1)'!C5</f>
        <v>0.22513595166163144</v>
      </c>
      <c r="E24" s="79">
        <f ca="1">'No Size Limit (1)'!$C5</f>
        <v>0.22513595166163136</v>
      </c>
      <c r="F24" s="79">
        <f ca="1">'Reduce DMR (1)'!$C5</f>
        <v>0.22513595166163142</v>
      </c>
      <c r="I24" s="98">
        <f ca="1">'Excluders (2)'!C5</f>
        <v>0.13425672999399701</v>
      </c>
      <c r="J24" s="98">
        <f ca="1">'No Size Limit (2)'!$C5</f>
        <v>0.21184175880004413</v>
      </c>
      <c r="K24" s="98">
        <f ca="1">'Reduce DMR (2)'!$C5</f>
        <v>0.22510409030442868</v>
      </c>
    </row>
    <row r="25" spans="2:11">
      <c r="B25" s="49" t="s">
        <v>108</v>
      </c>
      <c r="C25" s="68">
        <f ca="1">'Status Quo'!C6</f>
        <v>0.17119033232628397</v>
      </c>
      <c r="D25" s="80">
        <f ca="1">'Excluders (1)'!C6</f>
        <v>0.17119033232628397</v>
      </c>
      <c r="E25" s="80">
        <f ca="1">'No Size Limit (1)'!$C6</f>
        <v>0.171190332326284</v>
      </c>
      <c r="F25" s="79">
        <f ca="1">'Reduce DMR (1)'!$C6</f>
        <v>0.171190332326284</v>
      </c>
      <c r="I25" s="98">
        <f ca="1">'Excluders (2)'!C6</f>
        <v>0.19287725202377928</v>
      </c>
      <c r="J25" s="99">
        <f ca="1">'No Size Limit (2)'!$C6</f>
        <v>0.16892245398762643</v>
      </c>
      <c r="K25" s="98">
        <f ca="1">'Reduce DMR (2)'!$C6</f>
        <v>0.17119811159617829</v>
      </c>
    </row>
    <row r="26" spans="2:11">
      <c r="B26" s="48" t="s">
        <v>72</v>
      </c>
      <c r="C26" s="65">
        <f ca="1">SUM(C23:C25)</f>
        <v>0.99999999999999989</v>
      </c>
      <c r="D26" s="81">
        <f ca="1">SUM(D23:D25)</f>
        <v>1</v>
      </c>
      <c r="E26" s="81">
        <f ca="1">SUM(E23:E25)</f>
        <v>1</v>
      </c>
      <c r="F26" s="89">
        <f ca="1">SUM(F23:F25)</f>
        <v>1</v>
      </c>
      <c r="I26" s="104">
        <f ca="1">SUM(I23:I25)</f>
        <v>1.0000000000000002</v>
      </c>
      <c r="J26" s="100">
        <f ca="1">SUM(J23:J25)</f>
        <v>1</v>
      </c>
      <c r="K26" s="104">
        <f ca="1">SUM(K23:K25)</f>
        <v>0.99999999999999989</v>
      </c>
    </row>
    <row r="27" spans="2:11">
      <c r="D27" s="74"/>
      <c r="F27" s="86"/>
      <c r="I27" s="94"/>
      <c r="J27" s="17"/>
      <c r="K27" s="17"/>
    </row>
    <row r="28" spans="2:11">
      <c r="B28" s="69" t="s">
        <v>133</v>
      </c>
      <c r="C28" s="88" t="s">
        <v>115</v>
      </c>
      <c r="D28" s="82" t="str">
        <f>D4</f>
        <v>Excluders</v>
      </c>
      <c r="E28" s="82" t="str">
        <f>E4</f>
        <v>Full Retention</v>
      </c>
      <c r="F28" s="87" t="str">
        <f>F4</f>
        <v>Reduce DMR</v>
      </c>
      <c r="I28" s="91" t="str">
        <f>I4</f>
        <v>Excluders</v>
      </c>
      <c r="J28" s="91" t="str">
        <f>J4</f>
        <v>Full Retention</v>
      </c>
      <c r="K28" s="92" t="str">
        <f>K4</f>
        <v>Reduce DMR</v>
      </c>
    </row>
    <row r="29" spans="2:11">
      <c r="B29" s="8" t="s">
        <v>106</v>
      </c>
      <c r="C29" s="64">
        <f ca="1">'Status Quo'!C11</f>
        <v>0.26028638242259566</v>
      </c>
      <c r="D29" s="79">
        <f ca="1">'Excluders (1)'!C11</f>
        <v>0.16836195861141987</v>
      </c>
      <c r="E29" s="79">
        <f ca="1">'No Size Limit (1)'!$C11</f>
        <v>0.24519573128857486</v>
      </c>
      <c r="F29" s="79">
        <f ca="1">'Reduce DMR (1)'!$C11</f>
        <v>0.26025875025110168</v>
      </c>
      <c r="I29" s="98">
        <f ca="1">'Excluders (2)'!C11</f>
        <v>0.26028638242243268</v>
      </c>
      <c r="J29" s="98">
        <f ca="1">'No Size Limit (2)'!$C11</f>
        <v>0.26028638242243257</v>
      </c>
      <c r="K29" s="98">
        <f ca="1">'Reduce DMR (2)'!$C11</f>
        <v>0.26028638242243257</v>
      </c>
    </row>
    <row r="30" spans="2:11">
      <c r="B30" s="8">
        <v>0</v>
      </c>
      <c r="C30" s="64">
        <f ca="1">'Status Quo'!C12</f>
        <v>0.55746237931998666</v>
      </c>
      <c r="D30" s="79">
        <f ca="1">'Excluders (1)'!C12</f>
        <v>0.71390168223338546</v>
      </c>
      <c r="E30" s="79">
        <f ca="1">'No Size Limit (1)'!$C12</f>
        <v>0.57580465415191096</v>
      </c>
      <c r="F30" s="79">
        <f ca="1">'Reduce DMR (1)'!$C12</f>
        <v>0.55750961220304396</v>
      </c>
      <c r="I30" s="98">
        <f ca="1">'Excluders (2)'!C12</f>
        <v>0.55746237931999654</v>
      </c>
      <c r="J30" s="98">
        <f ca="1">'No Size Limit (2)'!$C12</f>
        <v>0.55746237931999676</v>
      </c>
      <c r="K30" s="98">
        <f ca="1">'Reduce DMR (2)'!$C12</f>
        <v>0.55746237931999665</v>
      </c>
    </row>
    <row r="31" spans="2:11">
      <c r="B31" s="49" t="s">
        <v>108</v>
      </c>
      <c r="C31" s="68">
        <f ca="1">'Status Quo'!C13</f>
        <v>0.18225123825741774</v>
      </c>
      <c r="D31" s="80">
        <f ca="1">'Excluders (1)'!C13</f>
        <v>0.11773635915519472</v>
      </c>
      <c r="E31" s="79">
        <f ca="1">'No Size Limit (1)'!$C13</f>
        <v>0.17899961455951416</v>
      </c>
      <c r="F31" s="79">
        <f ca="1">'Reduce DMR (1)'!$C13</f>
        <v>0.18223163754585439</v>
      </c>
      <c r="I31" s="98">
        <f ca="1">'Excluders (2)'!C13</f>
        <v>0.18225123825757072</v>
      </c>
      <c r="J31" s="98">
        <f ca="1">'No Size Limit (2)'!$C13</f>
        <v>0.18225123825757072</v>
      </c>
      <c r="K31" s="98">
        <f ca="1">'Reduce DMR (2)'!$C13</f>
        <v>0.18225123825757075</v>
      </c>
    </row>
    <row r="32" spans="2:11">
      <c r="B32" s="48" t="s">
        <v>72</v>
      </c>
      <c r="C32" s="65">
        <f ca="1">SUM(C29:C31)</f>
        <v>1</v>
      </c>
      <c r="D32" s="81">
        <f ca="1">SUM(D29:D31)</f>
        <v>1</v>
      </c>
      <c r="E32" s="89">
        <f ca="1">SUM(E29:E31)</f>
        <v>1</v>
      </c>
      <c r="F32" s="89">
        <f ca="1">SUM(F29:F31)</f>
        <v>1</v>
      </c>
      <c r="I32" s="104">
        <f ca="1">SUM(I29:I31)</f>
        <v>1</v>
      </c>
      <c r="J32" s="104">
        <f ca="1">SUM(J29:J31)</f>
        <v>1</v>
      </c>
      <c r="K32" s="104">
        <f ca="1">SUM(K29:K31)</f>
        <v>1</v>
      </c>
    </row>
    <row r="33" spans="2:11">
      <c r="D33" s="74"/>
      <c r="F33" s="86"/>
      <c r="I33" s="94"/>
      <c r="J33" s="17"/>
      <c r="K33" s="17"/>
    </row>
    <row r="34" spans="2:11">
      <c r="B34" s="62" t="s">
        <v>135</v>
      </c>
      <c r="C34" s="88" t="s">
        <v>115</v>
      </c>
      <c r="D34" s="82" t="str">
        <f>D4</f>
        <v>Excluders</v>
      </c>
      <c r="E34" s="82" t="str">
        <f>E4</f>
        <v>Full Retention</v>
      </c>
      <c r="F34" s="87" t="str">
        <f>F4</f>
        <v>Reduce DMR</v>
      </c>
      <c r="I34" s="91" t="str">
        <f>I4</f>
        <v>Excluders</v>
      </c>
      <c r="J34" s="91" t="str">
        <f>J4</f>
        <v>Full Retention</v>
      </c>
      <c r="K34" s="92" t="str">
        <f>K4</f>
        <v>Reduce DMR</v>
      </c>
    </row>
    <row r="35" spans="2:11">
      <c r="B35" s="8" t="s">
        <v>106</v>
      </c>
      <c r="C35" s="71">
        <f ca="1">avg_wt1</f>
        <v>76.616147263086006</v>
      </c>
      <c r="D35" s="83">
        <f ca="1">'Excluders (1)'!avg_wt1</f>
        <v>79.555826409407686</v>
      </c>
      <c r="E35" s="83">
        <f ca="1">'No Size Limit (1)'!avg_wt1</f>
        <v>76.927640061771882</v>
      </c>
      <c r="F35" s="83">
        <f ca="1">'Reduce DMR (1)'!avg_wt1</f>
        <v>76.616833989202036</v>
      </c>
      <c r="I35" s="101">
        <f ca="1">'Excluders (2)'!avg_wt1</f>
        <v>76.417152931633069</v>
      </c>
      <c r="J35" s="101">
        <f ca="1">'No Size Limit (2)'!avg_wt1</f>
        <v>76.497356879480364</v>
      </c>
      <c r="K35" s="101">
        <f ca="1">'Reduce DMR (2)'!avg_wt1</f>
        <v>76.616090428831868</v>
      </c>
    </row>
    <row r="36" spans="2:11">
      <c r="B36" s="8" t="s">
        <v>107</v>
      </c>
      <c r="C36" s="71">
        <f ca="1">avg_wt2</f>
        <v>13.341319286499846</v>
      </c>
      <c r="D36" s="83">
        <f ca="1">'Excluders (1)'!avg_wt2</f>
        <v>6.9971331925898035</v>
      </c>
      <c r="E36" s="83">
        <f ca="1">'No Size Limit (1)'!avg_wt2</f>
        <v>12.216948108655055</v>
      </c>
      <c r="F36" s="83">
        <f ca="1">'Reduce DMR (1)'!avg_wt2</f>
        <v>13.33889234892974</v>
      </c>
      <c r="I36" s="101">
        <f ca="1">'Excluders (2)'!avg_wt2</f>
        <v>7.1192493808694453</v>
      </c>
      <c r="J36" s="101">
        <f ca="1">'No Size Limit (2)'!avg_wt2</f>
        <v>12.219061177047509</v>
      </c>
      <c r="K36" s="101">
        <f ca="1">'Reduce DMR (2)'!avg_wt2</f>
        <v>13.338889198394698</v>
      </c>
    </row>
    <row r="37" spans="2:11">
      <c r="B37" s="49" t="s">
        <v>108</v>
      </c>
      <c r="C37" s="72">
        <f ca="1">avg_wt3</f>
        <v>31.029747161328288</v>
      </c>
      <c r="D37" s="84">
        <f ca="1">'Excluders (1)'!avg_wt3</f>
        <v>32.261334424080957</v>
      </c>
      <c r="E37" s="83">
        <f ca="1">'No Size Limit (1)'!avg_wt3</f>
        <v>29.882724222019696</v>
      </c>
      <c r="F37" s="83">
        <f ca="1">'Reduce DMR (1)'!avg_wt3</f>
        <v>31.030068333811371</v>
      </c>
      <c r="I37" s="102">
        <f ca="1">'Excluders (2)'!avg_wt3</f>
        <v>31.284140472222095</v>
      </c>
      <c r="J37" s="101">
        <f ca="1">'No Size Limit (2)'!avg_wt3</f>
        <v>29.802913618797387</v>
      </c>
      <c r="K37" s="101">
        <f ca="1">'Reduce DMR (2)'!avg_wt3</f>
        <v>31.029896341149083</v>
      </c>
    </row>
    <row r="38" spans="2:11">
      <c r="B38" s="48" t="s">
        <v>131</v>
      </c>
      <c r="C38" s="73">
        <f ca="1">AVERAGE(C35:C37)</f>
        <v>40.32907123697138</v>
      </c>
      <c r="D38" s="85">
        <f ca="1">AVERAGE(D35:D37)</f>
        <v>39.604764675359483</v>
      </c>
      <c r="E38" s="90">
        <f ca="1">AVERAGE(E35:E37)</f>
        <v>39.675770797482215</v>
      </c>
      <c r="F38" s="90">
        <f ca="1">AVERAGE(F35:F37)</f>
        <v>40.328598223981047</v>
      </c>
      <c r="I38" s="105">
        <f ca="1">AVERAGE(I35:I37)</f>
        <v>38.273514261574867</v>
      </c>
      <c r="J38" s="105">
        <f ca="1">AVERAGE(J35:J37)</f>
        <v>39.506443891775085</v>
      </c>
      <c r="K38" s="105">
        <f ca="1">AVERAGE(K35:K37)</f>
        <v>40.328291989458549</v>
      </c>
    </row>
    <row r="39" spans="2:11">
      <c r="I39" s="17"/>
    </row>
    <row r="46" spans="2:11">
      <c r="C46" s="52" t="s">
        <v>129</v>
      </c>
      <c r="D46" s="52"/>
      <c r="E46" s="52"/>
      <c r="F46" s="52"/>
    </row>
    <row r="47" spans="2:11">
      <c r="C47" s="54"/>
      <c r="D47" s="51" t="s">
        <v>106</v>
      </c>
      <c r="E47" s="51" t="s">
        <v>107</v>
      </c>
      <c r="F47" s="51" t="s">
        <v>108</v>
      </c>
    </row>
    <row r="48" spans="2:11">
      <c r="C48" s="55" t="s">
        <v>106</v>
      </c>
      <c r="D48" s="50">
        <f ca="1">'Status Quo'!G47</f>
        <v>1</v>
      </c>
      <c r="E48" s="50">
        <f ca="1">'Status Quo'!H47</f>
        <v>0.49377098008158371</v>
      </c>
      <c r="F48" s="50">
        <f ca="1">'Status Quo'!I47</f>
        <v>0.50579745247410224</v>
      </c>
    </row>
    <row r="49" spans="3:6">
      <c r="C49" s="55" t="s">
        <v>107</v>
      </c>
      <c r="D49" s="50">
        <f ca="1">'Status Quo'!G48</f>
        <v>2.0252304010146043</v>
      </c>
      <c r="E49" s="50">
        <f ca="1">'Status Quo'!H48</f>
        <v>1</v>
      </c>
      <c r="F49" s="50">
        <f ca="1">'Status Quo'!I48</f>
        <v>0.65455912277159889</v>
      </c>
    </row>
    <row r="50" spans="3:6">
      <c r="C50" s="56" t="s">
        <v>108</v>
      </c>
      <c r="D50" s="53">
        <f ca="1">'Status Quo'!G49</f>
        <v>1.9770759917997056</v>
      </c>
      <c r="E50" s="53">
        <f ca="1">'Status Quo'!H49</f>
        <v>1.5277458753698234</v>
      </c>
      <c r="F50" s="53">
        <f ca="1">'Status Quo'!I49</f>
        <v>1</v>
      </c>
    </row>
  </sheetData>
  <mergeCells count="2">
    <mergeCell ref="D3:F3"/>
    <mergeCell ref="I3:K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4"/>
  <sheetViews>
    <sheetView topLeftCell="A3" workbookViewId="0">
      <pane xSplit="10" topLeftCell="K1" activePane="topRight" state="frozen"/>
      <selection pane="topRight" activeCell="K4" sqref="K4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 t="shared" ref="B4:B6" si="0">E4/SUM(E$4:E$6)</f>
        <v>0.60367371601208464</v>
      </c>
      <c r="C4" s="22">
        <f ca="1">ypr1/SUM(ypr1,ypr2,ypr3)</f>
        <v>0.60367371601208453</v>
      </c>
      <c r="E4" s="47">
        <v>24977</v>
      </c>
      <c r="F4" s="47">
        <f ca="1">ye_1</f>
        <v>26259.004469257499</v>
      </c>
      <c r="J4" t="s">
        <v>78</v>
      </c>
      <c r="K4" s="1">
        <f t="shared" ref="K4:AI4" si="1">linf*(1-EXP(-vonbk*(age+to)))</f>
        <v>17.235024005677143</v>
      </c>
      <c r="L4" s="1">
        <f t="shared" si="1"/>
        <v>30.843699809911001</v>
      </c>
      <c r="M4" s="1">
        <f t="shared" si="1"/>
        <v>43.433099625211497</v>
      </c>
      <c r="N4" s="1">
        <f t="shared" si="1"/>
        <v>55.079566187386391</v>
      </c>
      <c r="O4" s="1">
        <f t="shared" si="1"/>
        <v>65.853724238909024</v>
      </c>
      <c r="P4" s="1">
        <f t="shared" si="1"/>
        <v>75.820908800808709</v>
      </c>
      <c r="Q4" s="1">
        <f t="shared" si="1"/>
        <v>85.041561367431456</v>
      </c>
      <c r="R4" s="1">
        <f t="shared" si="1"/>
        <v>93.57159642661594</v>
      </c>
      <c r="S4" s="1">
        <f t="shared" si="1"/>
        <v>101.46274052788061</v>
      </c>
      <c r="T4" s="1">
        <f t="shared" si="1"/>
        <v>108.76284595474834</v>
      </c>
      <c r="U4" s="1">
        <f t="shared" si="1"/>
        <v>115.5161809033324</v>
      </c>
      <c r="V4" s="1">
        <f t="shared" si="1"/>
        <v>121.76369792684143</v>
      </c>
      <c r="W4" s="1">
        <f t="shared" si="1"/>
        <v>127.54328227386371</v>
      </c>
      <c r="X4" s="1">
        <f t="shared" si="1"/>
        <v>132.88998162636642</v>
      </c>
      <c r="Y4" s="1">
        <f t="shared" si="1"/>
        <v>137.83621863055185</v>
      </c>
      <c r="Z4" s="1">
        <f t="shared" si="1"/>
        <v>142.41198750936894</v>
      </c>
      <c r="AA4" s="1">
        <f t="shared" si="1"/>
        <v>146.64503594894714</v>
      </c>
      <c r="AB4" s="1">
        <f t="shared" si="1"/>
        <v>150.56103336192129</v>
      </c>
      <c r="AC4" s="1">
        <f t="shared" si="1"/>
        <v>154.18372654800453</v>
      </c>
      <c r="AD4" s="1">
        <f t="shared" si="1"/>
        <v>157.5350836957424</v>
      </c>
      <c r="AE4" s="1">
        <f t="shared" si="1"/>
        <v>160.63542759868196</v>
      </c>
      <c r="AF4" s="1">
        <f t="shared" si="1"/>
        <v>163.50355889378503</v>
      </c>
      <c r="AG4" s="1">
        <f t="shared" si="1"/>
        <v>166.15687006940976</v>
      </c>
      <c r="AH4" s="1">
        <f t="shared" si="1"/>
        <v>168.61145093421021</v>
      </c>
      <c r="AI4" s="1">
        <f t="shared" si="1"/>
        <v>170.8821861865222</v>
      </c>
    </row>
    <row r="5" spans="1:35">
      <c r="A5" t="s">
        <v>107</v>
      </c>
      <c r="B5" s="25">
        <f t="shared" si="0"/>
        <v>0.22513595166163142</v>
      </c>
      <c r="C5" s="22">
        <f ca="1">ypr2/SUM(ypr1,ypr2,ypr3)</f>
        <v>0.22513595166163136</v>
      </c>
      <c r="E5" s="47">
        <v>9315</v>
      </c>
      <c r="F5" s="47">
        <f ca="1">ye_2</f>
        <v>9793.1147307976771</v>
      </c>
      <c r="J5" t="s">
        <v>3</v>
      </c>
      <c r="K5" s="9">
        <f>0.00000692*len^3.24</f>
        <v>7.0158553546955618E-2</v>
      </c>
      <c r="L5" s="9">
        <f>0.00000692*len^3.24</f>
        <v>0.46238682351281868</v>
      </c>
      <c r="M5" s="9">
        <f>0.00000692*len^3.24</f>
        <v>1.4016693105158124</v>
      </c>
      <c r="N5" s="9">
        <f>0.00000692*len^3.24</f>
        <v>3.0263235000724551</v>
      </c>
      <c r="O5" s="9">
        <f>0.00000692*len^3.24</f>
        <v>5.3989138613447478</v>
      </c>
      <c r="P5" s="9">
        <f>0.00000692*len^3.24</f>
        <v>8.5235871881960321</v>
      </c>
      <c r="Q5" s="9">
        <f>0.00000692*len^3.24</f>
        <v>12.362641181768007</v>
      </c>
      <c r="R5" s="9">
        <f>0.00000692*len^3.24</f>
        <v>16.850499568231225</v>
      </c>
      <c r="S5" s="9">
        <f>0.00000692*len^3.24</f>
        <v>21.904807515591521</v>
      </c>
      <c r="T5" s="9">
        <f>0.00000692*len^3.24</f>
        <v>27.434883404502997</v>
      </c>
      <c r="U5" s="9">
        <f>0.00000692*len^3.24</f>
        <v>33.347926709886231</v>
      </c>
      <c r="V5" s="9">
        <f>0.00000692*len^3.24</f>
        <v>39.553403570181338</v>
      </c>
      <c r="W5" s="9">
        <f>0.00000692*len^3.24</f>
        <v>45.965996898027832</v>
      </c>
      <c r="X5" s="9">
        <f>0.00000692*len^3.24</f>
        <v>52.507453509450855</v>
      </c>
      <c r="Y5" s="9">
        <f>0.00000692*len^3.24</f>
        <v>59.107603219100518</v>
      </c>
      <c r="Z5" s="9">
        <f>0.00000692*len^3.24</f>
        <v>65.704771366005971</v>
      </c>
      <c r="AA5" s="9">
        <f>0.00000692*len^3.24</f>
        <v>72.245759564237062</v>
      </c>
      <c r="AB5" s="9">
        <f>0.00000692*len^3.24</f>
        <v>78.685530247837576</v>
      </c>
      <c r="AC5" s="9">
        <f>0.00000692*len^3.24</f>
        <v>84.986698433372865</v>
      </c>
      <c r="AD5" s="9">
        <f>0.00000692*len^3.24</f>
        <v>91.118908268394236</v>
      </c>
      <c r="AE5" s="9">
        <f>0.00000692*len^3.24</f>
        <v>97.058151452529373</v>
      </c>
      <c r="AF5" s="9">
        <f>0.00000692*len^3.24</f>
        <v>102.78606860782043</v>
      </c>
      <c r="AG5" s="9">
        <f>0.00000692*len^3.24</f>
        <v>108.28926231630099</v>
      </c>
      <c r="AH5" s="9">
        <f>0.00000692*len^3.24</f>
        <v>113.55864112278009</v>
      </c>
      <c r="AI5" s="9">
        <f>0.00000692*len^3.24</f>
        <v>118.58880671719038</v>
      </c>
    </row>
    <row r="6" spans="1:35">
      <c r="A6" t="s">
        <v>108</v>
      </c>
      <c r="B6" s="25">
        <f t="shared" si="0"/>
        <v>0.171190332326284</v>
      </c>
      <c r="C6" s="22">
        <f ca="1">ypr3/SUM(ypr1,ypr2,ypr3)</f>
        <v>0.17119033232628397</v>
      </c>
      <c r="E6" s="47">
        <v>7083</v>
      </c>
      <c r="F6" s="47">
        <f ca="1">ye_3</f>
        <v>7446.5519740461568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0.39999999999924651</v>
      </c>
      <c r="J7" t="s">
        <v>7</v>
      </c>
      <c r="K7" s="1">
        <f>1</f>
        <v>1</v>
      </c>
      <c r="L7" s="1">
        <f ca="1">K7*EXP(-K8)</f>
        <v>0.86054068021002406</v>
      </c>
      <c r="M7" s="1">
        <f t="shared" ref="M7:AH7" ca="1" si="3">L7*EXP(-L8)</f>
        <v>0.73881889505800213</v>
      </c>
      <c r="N7" s="1">
        <f t="shared" ca="1" si="3"/>
        <v>0.62505837916635276</v>
      </c>
      <c r="O7" s="1">
        <f t="shared" ca="1" si="3"/>
        <v>0.52331513054864032</v>
      </c>
      <c r="P7" s="1">
        <f t="shared" ca="1" si="3"/>
        <v>0.43852267709225118</v>
      </c>
      <c r="Q7" s="1">
        <f t="shared" ca="1" si="3"/>
        <v>0.36803459106413283</v>
      </c>
      <c r="R7" s="1">
        <f t="shared" ca="1" si="3"/>
        <v>0.30652375917901614</v>
      </c>
      <c r="S7" s="1">
        <f t="shared" ca="1" si="3"/>
        <v>0.2536439123084176</v>
      </c>
      <c r="T7" s="1">
        <f t="shared" ca="1" si="3"/>
        <v>0.20997514908290213</v>
      </c>
      <c r="U7" s="1">
        <f t="shared" ca="1" si="3"/>
        <v>0.17423696913789277</v>
      </c>
      <c r="V7" s="1">
        <f t="shared" ca="1" si="3"/>
        <v>0.14488688938369593</v>
      </c>
      <c r="W7" s="1">
        <f t="shared" ca="1" si="3"/>
        <v>0.12053291902516555</v>
      </c>
      <c r="X7" s="1">
        <f t="shared" ca="1" si="3"/>
        <v>9.9923025269470112E-2</v>
      </c>
      <c r="Y7" s="1">
        <f t="shared" ca="1" si="3"/>
        <v>8.1866288107647942E-2</v>
      </c>
      <c r="Z7" s="1">
        <f t="shared" ca="1" si="3"/>
        <v>6.5341381964291054E-2</v>
      </c>
      <c r="AA7" s="1">
        <f t="shared" ca="1" si="3"/>
        <v>4.9938659258667729E-2</v>
      </c>
      <c r="AB7" s="1">
        <f t="shared" ca="1" si="3"/>
        <v>3.6477929075750981E-2</v>
      </c>
      <c r="AC7" s="1">
        <f t="shared" ca="1" si="3"/>
        <v>2.5810306735480234E-2</v>
      </c>
      <c r="AD7" s="1">
        <f t="shared" ca="1" si="3"/>
        <v>1.795947300986191E-2</v>
      </c>
      <c r="AE7" s="1">
        <f t="shared" ca="1" si="3"/>
        <v>1.2403899688913938E-2</v>
      </c>
      <c r="AF7" s="1">
        <f t="shared" ca="1" si="3"/>
        <v>8.5405878142238226E-3</v>
      </c>
      <c r="AG7" s="1">
        <f t="shared" ca="1" si="3"/>
        <v>5.8733271399031995E-3</v>
      </c>
      <c r="AH7" s="1">
        <f t="shared" ca="1" si="3"/>
        <v>4.0371123299812513E-3</v>
      </c>
      <c r="AI7" s="1">
        <f ca="1">AH7*EXP(-AH8)/(1-EXP(-AI8))</f>
        <v>8.869256287616015E-3</v>
      </c>
    </row>
    <row r="8" spans="1:35">
      <c r="A8" s="5"/>
      <c r="B8" s="26"/>
      <c r="C8" s="26"/>
      <c r="E8" t="s">
        <v>111</v>
      </c>
      <c r="F8">
        <f ca="1">SUMXMY2(E4:E6,F4:F6)</f>
        <v>2004299.1928347952</v>
      </c>
      <c r="J8" t="s">
        <v>11</v>
      </c>
      <c r="K8" s="1">
        <f ca="1">M+f1_*flt1_ +f2_*flt2_ +f3_*flt3_</f>
        <v>0.15019438936369325</v>
      </c>
      <c r="L8" s="1">
        <f t="shared" ref="L8:AI8" ca="1" si="4">M+f1_*flt1_ +f2_*flt2_ +f3_*flt3_</f>
        <v>0.15250806628471991</v>
      </c>
      <c r="M8" s="1">
        <f t="shared" ca="1" si="4"/>
        <v>0.16720777129328906</v>
      </c>
      <c r="N8" s="1">
        <f t="shared" ca="1" si="4"/>
        <v>0.17766122536224532</v>
      </c>
      <c r="O8" s="1">
        <f t="shared" ca="1" si="4"/>
        <v>0.17677230105546876</v>
      </c>
      <c r="P8" s="1">
        <f t="shared" ca="1" si="4"/>
        <v>0.17523459441439135</v>
      </c>
      <c r="Q8" s="1">
        <f t="shared" ca="1" si="4"/>
        <v>0.18288166112346599</v>
      </c>
      <c r="R8" s="1">
        <f t="shared" ca="1" si="4"/>
        <v>0.18936390672123588</v>
      </c>
      <c r="S8" s="1">
        <f t="shared" ca="1" si="4"/>
        <v>0.188942177349083</v>
      </c>
      <c r="T8" s="1">
        <f t="shared" ca="1" si="4"/>
        <v>0.18657292173616188</v>
      </c>
      <c r="U8" s="1">
        <f t="shared" ca="1" si="4"/>
        <v>0.18446289948913061</v>
      </c>
      <c r="V8" s="1">
        <f t="shared" ca="1" si="4"/>
        <v>0.18403046223646269</v>
      </c>
      <c r="W8" s="1">
        <f t="shared" ca="1" si="4"/>
        <v>0.18752276027756939</v>
      </c>
      <c r="X8" s="1">
        <f t="shared" ca="1" si="4"/>
        <v>0.19931285877328148</v>
      </c>
      <c r="Y8" s="1">
        <f t="shared" ca="1" si="4"/>
        <v>0.22546172719622046</v>
      </c>
      <c r="Z8" s="1">
        <f t="shared" ca="1" si="4"/>
        <v>0.26883011885757618</v>
      </c>
      <c r="AA8" s="1">
        <f t="shared" ca="1" si="4"/>
        <v>0.31408804261024414</v>
      </c>
      <c r="AB8" s="1">
        <f t="shared" ca="1" si="4"/>
        <v>0.34593349681223495</v>
      </c>
      <c r="AC8" s="1">
        <f t="shared" ca="1" si="4"/>
        <v>0.36265617801741246</v>
      </c>
      <c r="AD8" s="1">
        <f t="shared" ca="1" si="4"/>
        <v>0.37010680579775423</v>
      </c>
      <c r="AE8" s="1">
        <f t="shared" ca="1" si="4"/>
        <v>0.37318107807337608</v>
      </c>
      <c r="AF8" s="1">
        <f t="shared" ca="1" si="4"/>
        <v>0.37440855879777479</v>
      </c>
      <c r="AG8" s="1">
        <f t="shared" ca="1" si="4"/>
        <v>0.37489161074263511</v>
      </c>
      <c r="AH8" s="1">
        <f t="shared" ca="1" si="4"/>
        <v>0.37508002211169356</v>
      </c>
      <c r="AI8" s="1">
        <f t="shared" ca="1" si="4"/>
        <v>0.3751526535067452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0.86054068021002406</v>
      </c>
      <c r="L10" s="1">
        <f t="shared" ca="1" si="5"/>
        <v>0.8585519686038382</v>
      </c>
      <c r="M10" s="1">
        <f t="shared" ca="1" si="5"/>
        <v>0.84602381361305268</v>
      </c>
      <c r="N10" s="1">
        <f t="shared" ca="1" si="5"/>
        <v>0.83722600638774169</v>
      </c>
      <c r="O10" s="1">
        <f t="shared" ca="1" si="5"/>
        <v>0.83797056781543222</v>
      </c>
      <c r="P10" s="1">
        <f t="shared" ca="1" si="5"/>
        <v>0.83926011193877226</v>
      </c>
      <c r="Q10" s="1">
        <f t="shared" ca="1" si="5"/>
        <v>0.83286671041636418</v>
      </c>
      <c r="R10" s="1">
        <f t="shared" ca="1" si="5"/>
        <v>0.82748532442564882</v>
      </c>
      <c r="S10" s="1">
        <f t="shared" ca="1" si="5"/>
        <v>0.82783437288880579</v>
      </c>
      <c r="T10" s="1">
        <f t="shared" ca="1" si="5"/>
        <v>0.82979804943060542</v>
      </c>
      <c r="U10" s="1">
        <f t="shared" ca="1" si="5"/>
        <v>0.83155079028625145</v>
      </c>
      <c r="V10" s="1">
        <f t="shared" ca="1" si="5"/>
        <v>0.83191046158748638</v>
      </c>
      <c r="W10" s="1">
        <f t="shared" ca="1" si="5"/>
        <v>0.82901024946228685</v>
      </c>
      <c r="X10" s="1">
        <f t="shared" ca="1" si="5"/>
        <v>0.81929353006349459</v>
      </c>
      <c r="Y10" s="1">
        <f t="shared" ca="1" si="5"/>
        <v>0.79814760721009004</v>
      </c>
      <c r="Z10" s="1">
        <f t="shared" ca="1" si="5"/>
        <v>0.76427308020450369</v>
      </c>
      <c r="AA10" s="1">
        <f t="shared" ca="1" si="5"/>
        <v>0.73045471418857921</v>
      </c>
      <c r="AB10" s="1">
        <f t="shared" ca="1" si="5"/>
        <v>0.7075595405068611</v>
      </c>
      <c r="AC10" s="1">
        <f t="shared" ca="1" si="5"/>
        <v>0.69582563252430685</v>
      </c>
      <c r="AD10" s="1">
        <f t="shared" ca="1" si="5"/>
        <v>0.69066056014576294</v>
      </c>
      <c r="AE10" s="1">
        <f t="shared" ca="1" si="5"/>
        <v>0.6885405419601246</v>
      </c>
      <c r="AF10" s="1">
        <f t="shared" ca="1" si="5"/>
        <v>0.68769589021982014</v>
      </c>
      <c r="AG10" s="1">
        <f t="shared" ca="1" si="5"/>
        <v>0.68736377760285772</v>
      </c>
      <c r="AH10" s="1">
        <f t="shared" ca="1" si="5"/>
        <v>0.68723428265202191</v>
      </c>
      <c r="AI10" s="1">
        <f t="shared" ca="1" si="5"/>
        <v>0.68718436967999197</v>
      </c>
    </row>
    <row r="11" spans="1:35">
      <c r="A11" s="5">
        <v>1</v>
      </c>
      <c r="B11" s="25">
        <v>0.26028638242243257</v>
      </c>
      <c r="C11" s="18">
        <f ca="1">mpr1_/SUM(mpr1_,mpr2_,mpr3_)</f>
        <v>0.26028638242259566</v>
      </c>
      <c r="J11" t="s">
        <v>56</v>
      </c>
      <c r="K11" s="1">
        <f ca="1">1-sa</f>
        <v>0.13945931978997594</v>
      </c>
      <c r="L11" s="1">
        <f t="shared" ref="L11:AI11" ca="1" si="6">1-sa</f>
        <v>0.1414480313961618</v>
      </c>
      <c r="M11" s="1">
        <f t="shared" ca="1" si="6"/>
        <v>0.15397618638694732</v>
      </c>
      <c r="N11" s="1">
        <f t="shared" ca="1" si="6"/>
        <v>0.16277399361225831</v>
      </c>
      <c r="O11" s="1">
        <f t="shared" ca="1" si="6"/>
        <v>0.16202943218456778</v>
      </c>
      <c r="P11" s="1">
        <f t="shared" ca="1" si="6"/>
        <v>0.16073988806122774</v>
      </c>
      <c r="Q11" s="1">
        <f t="shared" ca="1" si="6"/>
        <v>0.16713328958363582</v>
      </c>
      <c r="R11" s="1">
        <f t="shared" ca="1" si="6"/>
        <v>0.17251467557435118</v>
      </c>
      <c r="S11" s="1">
        <f t="shared" ca="1" si="6"/>
        <v>0.17216562711119421</v>
      </c>
      <c r="T11" s="1">
        <f t="shared" ca="1" si="6"/>
        <v>0.17020195056939458</v>
      </c>
      <c r="U11" s="1">
        <f t="shared" ca="1" si="6"/>
        <v>0.16844920971374855</v>
      </c>
      <c r="V11" s="1">
        <f t="shared" ca="1" si="6"/>
        <v>0.16808953841251362</v>
      </c>
      <c r="W11" s="1">
        <f t="shared" ca="1" si="6"/>
        <v>0.17098975053771315</v>
      </c>
      <c r="X11" s="1">
        <f t="shared" ca="1" si="6"/>
        <v>0.18070646993650541</v>
      </c>
      <c r="Y11" s="1">
        <f t="shared" ca="1" si="6"/>
        <v>0.20185239278990996</v>
      </c>
      <c r="Z11" s="1">
        <f t="shared" ca="1" si="6"/>
        <v>0.23572691979549631</v>
      </c>
      <c r="AA11" s="1">
        <f t="shared" ca="1" si="6"/>
        <v>0.26954528581142079</v>
      </c>
      <c r="AB11" s="1">
        <f t="shared" ca="1" si="6"/>
        <v>0.2924404594931389</v>
      </c>
      <c r="AC11" s="1">
        <f t="shared" ca="1" si="6"/>
        <v>0.30417436747569315</v>
      </c>
      <c r="AD11" s="1">
        <f t="shared" ca="1" si="6"/>
        <v>0.30933943985423706</v>
      </c>
      <c r="AE11" s="1">
        <f t="shared" ca="1" si="6"/>
        <v>0.3114594580398754</v>
      </c>
      <c r="AF11" s="1">
        <f t="shared" ca="1" si="6"/>
        <v>0.31230410978017986</v>
      </c>
      <c r="AG11" s="1">
        <f t="shared" ca="1" si="6"/>
        <v>0.31263622239714228</v>
      </c>
      <c r="AH11" s="1">
        <f t="shared" ca="1" si="6"/>
        <v>0.31276571734797809</v>
      </c>
      <c r="AI11" s="1">
        <f t="shared" ca="1" si="6"/>
        <v>0.31281563032000803</v>
      </c>
    </row>
    <row r="12" spans="1:35">
      <c r="A12" s="5">
        <v>2</v>
      </c>
      <c r="B12" s="25">
        <v>0.55746237931999676</v>
      </c>
      <c r="C12" s="18">
        <f ca="1">mpr2_/SUM(mpr1_,mpr2_,mpr3_)</f>
        <v>0.55746237931998666</v>
      </c>
      <c r="J12" t="s">
        <v>100</v>
      </c>
      <c r="K12">
        <f>1/(1+EXP(($E18-len)/2.5))</f>
        <v>5.6126934388498569E-12</v>
      </c>
      <c r="L12">
        <f t="shared" ref="L12:AI12" si="7">1/(1+EXP(($E18-len)/2.5))</f>
        <v>1.2978976454834829E-9</v>
      </c>
      <c r="M12">
        <f t="shared" si="7"/>
        <v>1.99637952261423E-7</v>
      </c>
      <c r="N12">
        <f t="shared" si="7"/>
        <v>2.1058746277498515E-5</v>
      </c>
      <c r="O12">
        <f t="shared" si="7"/>
        <v>1.564676467664138E-3</v>
      </c>
      <c r="P12">
        <f t="shared" si="7"/>
        <v>7.7870643543285392E-2</v>
      </c>
      <c r="Q12">
        <f t="shared" si="7"/>
        <v>0.77146898694811417</v>
      </c>
      <c r="R12">
        <f>1/(1+EXP(($E18-len)/2.5))</f>
        <v>0.99032644321048724</v>
      </c>
      <c r="S12">
        <f t="shared" si="7"/>
        <v>0.99958428557508638</v>
      </c>
      <c r="T12">
        <f t="shared" si="7"/>
        <v>0.99997757111253649</v>
      </c>
      <c r="U12">
        <f t="shared" si="7"/>
        <v>0.99999849463304669</v>
      </c>
      <c r="V12">
        <f t="shared" si="7"/>
        <v>0.99999987630899723</v>
      </c>
      <c r="W12">
        <f t="shared" si="7"/>
        <v>0.99999998774476839</v>
      </c>
      <c r="X12">
        <f t="shared" si="7"/>
        <v>0.9999999985562078</v>
      </c>
      <c r="Y12">
        <f t="shared" si="7"/>
        <v>0.99999999980035637</v>
      </c>
      <c r="Z12">
        <f t="shared" si="7"/>
        <v>0.99999999996798428</v>
      </c>
      <c r="AA12">
        <f t="shared" si="7"/>
        <v>0.99999999999411138</v>
      </c>
      <c r="AB12">
        <f t="shared" si="7"/>
        <v>0.99999999999877054</v>
      </c>
      <c r="AC12">
        <f t="shared" si="7"/>
        <v>0.99999999999971134</v>
      </c>
      <c r="AD12">
        <f t="shared" si="7"/>
        <v>0.9999999999999245</v>
      </c>
      <c r="AE12">
        <f t="shared" si="7"/>
        <v>0.99999999999997824</v>
      </c>
      <c r="AF12">
        <f t="shared" si="7"/>
        <v>0.99999999999999312</v>
      </c>
      <c r="AG12">
        <f t="shared" si="7"/>
        <v>0.99999999999999756</v>
      </c>
      <c r="AH12">
        <f t="shared" si="7"/>
        <v>0.99999999999999911</v>
      </c>
      <c r="AI12">
        <f t="shared" si="7"/>
        <v>0.99999999999999956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0.18225123825741774</v>
      </c>
      <c r="J13" t="s">
        <v>101</v>
      </c>
      <c r="K13">
        <f>1/(1+EXP(($E19-len)/2.5))</f>
        <v>1.780212213170972E-32</v>
      </c>
      <c r="L13">
        <f t="shared" ref="L13:Q14" si="8">1/(1+EXP(($E19-len)/2.5))</f>
        <v>4.1166211340324113E-30</v>
      </c>
      <c r="M13">
        <f t="shared" si="8"/>
        <v>6.3320399670713315E-28</v>
      </c>
      <c r="N13">
        <f t="shared" si="8"/>
        <v>6.6794716679723202E-26</v>
      </c>
      <c r="O13">
        <f t="shared" si="8"/>
        <v>4.9705571051631045E-24</v>
      </c>
      <c r="P13">
        <f t="shared" si="8"/>
        <v>2.6784427606745092E-22</v>
      </c>
      <c r="Q13">
        <f t="shared" si="8"/>
        <v>1.0707147400765349E-20</v>
      </c>
      <c r="R13">
        <f>1/(1+EXP(($E19-len)/2.5))</f>
        <v>3.2470774237305647E-19</v>
      </c>
      <c r="S13">
        <f t="shared" ref="S13:AI13" si="9">1/(1+EXP(($E19-len)/2.5))</f>
        <v>7.6264913102733784E-18</v>
      </c>
      <c r="T13">
        <f t="shared" si="9"/>
        <v>1.4141093097190688E-16</v>
      </c>
      <c r="U13">
        <f t="shared" si="9"/>
        <v>2.1069654906178927E-15</v>
      </c>
      <c r="V13">
        <f t="shared" si="9"/>
        <v>2.5642613710579942E-14</v>
      </c>
      <c r="W13">
        <f t="shared" si="9"/>
        <v>2.5880873253271309E-13</v>
      </c>
      <c r="X13">
        <f t="shared" si="9"/>
        <v>2.1968263846960051E-12</v>
      </c>
      <c r="Y13">
        <f t="shared" si="9"/>
        <v>1.5887117618179969E-11</v>
      </c>
      <c r="Z13">
        <f t="shared" si="9"/>
        <v>9.9068954677535708E-11</v>
      </c>
      <c r="AA13">
        <f t="shared" si="9"/>
        <v>5.3863356368460146E-10</v>
      </c>
      <c r="AB13">
        <f t="shared" si="9"/>
        <v>2.5797156485912094E-9</v>
      </c>
      <c r="AC13">
        <f t="shared" si="9"/>
        <v>1.0987480026385197E-8</v>
      </c>
      <c r="AD13">
        <f t="shared" si="9"/>
        <v>4.198444838888185E-8</v>
      </c>
      <c r="AE13">
        <f t="shared" si="9"/>
        <v>1.4510196922743085E-7</v>
      </c>
      <c r="AF13">
        <f t="shared" si="9"/>
        <v>4.5700253478658503E-7</v>
      </c>
      <c r="AG13">
        <f t="shared" si="9"/>
        <v>1.3208259556624439E-6</v>
      </c>
      <c r="AH13">
        <f t="shared" si="9"/>
        <v>3.5257296435145709E-6</v>
      </c>
      <c r="AI13">
        <f t="shared" si="9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0.39999999999924651</v>
      </c>
      <c r="J14" t="s">
        <v>102</v>
      </c>
      <c r="K14">
        <f>1/(1+EXP(($E20-len)/2.5))</f>
        <v>5.6126934388498569E-12</v>
      </c>
      <c r="L14">
        <f t="shared" si="8"/>
        <v>1.2978976454834829E-9</v>
      </c>
      <c r="M14">
        <f t="shared" si="8"/>
        <v>1.99637952261423E-7</v>
      </c>
      <c r="N14">
        <f t="shared" si="8"/>
        <v>2.1058746277498515E-5</v>
      </c>
      <c r="O14">
        <f t="shared" si="8"/>
        <v>1.564676467664138E-3</v>
      </c>
      <c r="P14">
        <f t="shared" si="8"/>
        <v>7.7870643543285392E-2</v>
      </c>
      <c r="Q14">
        <f t="shared" si="8"/>
        <v>0.77146898694811417</v>
      </c>
      <c r="R14">
        <f>1/(1+EXP(($E20-len)/2.5))</f>
        <v>0.99032644321048724</v>
      </c>
      <c r="S14">
        <f t="shared" ref="S14:AI14" si="10">1/(1+EXP(($E20-len)/2.5))</f>
        <v>0.99958428557508638</v>
      </c>
      <c r="T14">
        <f t="shared" si="10"/>
        <v>0.99997757111253649</v>
      </c>
      <c r="U14">
        <f t="shared" si="10"/>
        <v>0.99999849463304669</v>
      </c>
      <c r="V14">
        <f t="shared" si="10"/>
        <v>0.99999987630899723</v>
      </c>
      <c r="W14">
        <f t="shared" si="10"/>
        <v>0.99999998774476839</v>
      </c>
      <c r="X14">
        <f t="shared" si="10"/>
        <v>0.9999999985562078</v>
      </c>
      <c r="Y14">
        <f t="shared" si="10"/>
        <v>0.99999999980035637</v>
      </c>
      <c r="Z14">
        <f t="shared" si="10"/>
        <v>0.99999999996798428</v>
      </c>
      <c r="AA14">
        <f t="shared" si="10"/>
        <v>0.99999999999411138</v>
      </c>
      <c r="AB14">
        <f t="shared" si="10"/>
        <v>0.99999999999877054</v>
      </c>
      <c r="AC14">
        <f t="shared" si="10"/>
        <v>0.99999999999971134</v>
      </c>
      <c r="AD14">
        <f t="shared" si="10"/>
        <v>0.9999999999999245</v>
      </c>
      <c r="AE14">
        <f t="shared" si="10"/>
        <v>0.99999999999997824</v>
      </c>
      <c r="AF14">
        <f t="shared" si="10"/>
        <v>0.99999999999999312</v>
      </c>
      <c r="AG14">
        <f t="shared" si="10"/>
        <v>0.99999999999999756</v>
      </c>
      <c r="AH14">
        <f t="shared" si="10"/>
        <v>0.99999999999999911</v>
      </c>
      <c r="AI14">
        <f t="shared" si="10"/>
        <v>0.99999999999999956</v>
      </c>
    </row>
    <row r="15" spans="1:35">
      <c r="A15" s="5"/>
      <c r="B15" s="26" t="s">
        <v>50</v>
      </c>
      <c r="C15" s="26">
        <f ca="1">CHOOSE(C25,SUMXMY2(B14,C14),SUMXMY2(B7,C7))</f>
        <v>5.6777485885733583E-25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1">((EXP(g*(ah-age)/gh)/(1+EXP((ah-age)/gh))) *(1/(1-g))*((1-g)/g)^g) *(sr+(1-sr)*dmr)</f>
        <v>2.8474655284082498E-7</v>
      </c>
      <c r="M18" s="4">
        <f t="shared" si="11"/>
        <v>7.2799064193298868E-7</v>
      </c>
      <c r="N18" s="4">
        <f t="shared" si="11"/>
        <v>1.8613941753055458E-6</v>
      </c>
      <c r="O18" s="4">
        <f t="shared" si="11"/>
        <v>4.7973732538525313E-6</v>
      </c>
      <c r="P18" s="4">
        <f t="shared" ref="P18:AI18" si="12">((EXP(g*(ah-age)/gh)/(1+EXP((ah-age)/gh))) *(1/(1-g))*((1-g)/g)^g) *(sr_1+(1-sr_1)*dmr)</f>
        <v>1.7137769583510798E-5</v>
      </c>
      <c r="Q18" s="4">
        <f t="shared" si="12"/>
        <v>1.5704525993082906E-4</v>
      </c>
      <c r="R18" s="4">
        <f t="shared" si="12"/>
        <v>4.9270679394694951E-4</v>
      </c>
      <c r="S18" s="4">
        <f t="shared" si="12"/>
        <v>1.268564977270979E-3</v>
      </c>
      <c r="T18" s="4">
        <f t="shared" si="12"/>
        <v>3.2379295167042068E-3</v>
      </c>
      <c r="U18" s="4">
        <f t="shared" si="12"/>
        <v>8.236827271567819E-3</v>
      </c>
      <c r="V18" s="4">
        <f t="shared" si="12"/>
        <v>2.079200621233079E-2</v>
      </c>
      <c r="W18" s="4">
        <f t="shared" si="12"/>
        <v>5.1491204378878774E-2</v>
      </c>
      <c r="X18" s="4">
        <f t="shared" si="12"/>
        <v>0.1218766197503028</v>
      </c>
      <c r="Y18" s="4">
        <f t="shared" si="12"/>
        <v>0.26191103363059803</v>
      </c>
      <c r="Z18" s="4">
        <f t="shared" si="12"/>
        <v>0.47569349278639222</v>
      </c>
      <c r="AA18" s="4">
        <f t="shared" si="12"/>
        <v>0.69879031204778541</v>
      </c>
      <c r="AB18" s="4">
        <f t="shared" si="12"/>
        <v>0.85577098971264853</v>
      </c>
      <c r="AC18" s="4">
        <f t="shared" si="12"/>
        <v>0.93820466490256382</v>
      </c>
      <c r="AD18" s="4">
        <f t="shared" si="12"/>
        <v>0.97493218621747679</v>
      </c>
      <c r="AE18" s="4">
        <f t="shared" si="12"/>
        <v>0.99008666767320841</v>
      </c>
      <c r="AF18" s="4">
        <f t="shared" si="12"/>
        <v>0.99613747651752416</v>
      </c>
      <c r="AG18" s="4">
        <f t="shared" si="12"/>
        <v>0.9985186584962934</v>
      </c>
      <c r="AH18" s="4">
        <f t="shared" si="12"/>
        <v>0.99944742353154647</v>
      </c>
      <c r="AI18" s="4">
        <f t="shared" si="12"/>
        <v>0.99980545659782449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1"/>
        <v>5.582680465883184E-3</v>
      </c>
      <c r="L19" s="4">
        <f t="shared" si="11"/>
        <v>7.2155520993819139E-2</v>
      </c>
      <c r="M19" s="4">
        <f t="shared" si="11"/>
        <v>0.49521506802419019</v>
      </c>
      <c r="N19" s="4">
        <f t="shared" si="11"/>
        <v>0.79572893685182389</v>
      </c>
      <c r="O19" s="4">
        <f t="shared" si="11"/>
        <v>0.76863029451041309</v>
      </c>
      <c r="P19" s="4">
        <f t="shared" ref="P19:Y19" si="13">((EXP(g*(ah-age)/gh)/(1+EXP((ah-age)/gh))) *(1/(1-g))*((1-g)/g)^g) *(sr_2+(1-sr_2)*dmr)</f>
        <v>0.70743533876272136</v>
      </c>
      <c r="Q19" s="4">
        <f t="shared" si="13"/>
        <v>0.6492599837541615</v>
      </c>
      <c r="R19" s="4">
        <f t="shared" si="13"/>
        <v>0.59574057607123032</v>
      </c>
      <c r="S19" s="4">
        <f t="shared" si="13"/>
        <v>0.54662506941470868</v>
      </c>
      <c r="T19" s="4">
        <f t="shared" si="13"/>
        <v>0.50155839141389946</v>
      </c>
      <c r="U19" s="4">
        <f t="shared" si="13"/>
        <v>0.46020722133927372</v>
      </c>
      <c r="V19" s="4">
        <f t="shared" si="13"/>
        <v>0.42226526227867622</v>
      </c>
      <c r="W19" s="4">
        <f t="shared" si="13"/>
        <v>0.38745144232994355</v>
      </c>
      <c r="X19" s="4">
        <f t="shared" si="13"/>
        <v>0.35550786098485632</v>
      </c>
      <c r="Y19" s="4">
        <f t="shared" si="13"/>
        <v>0.32619788033882458</v>
      </c>
      <c r="Z19" s="4">
        <f>Y19</f>
        <v>0.32619788033882458</v>
      </c>
      <c r="AA19" s="4">
        <f t="shared" ref="AA19:AI19" si="14">Z19</f>
        <v>0.32619788033882458</v>
      </c>
      <c r="AB19" s="4">
        <f t="shared" si="14"/>
        <v>0.32619788033882458</v>
      </c>
      <c r="AC19" s="4">
        <f t="shared" si="14"/>
        <v>0.32619788033882458</v>
      </c>
      <c r="AD19" s="4">
        <f t="shared" si="14"/>
        <v>0.32619788033882458</v>
      </c>
      <c r="AE19" s="4">
        <f t="shared" si="14"/>
        <v>0.32619788033882458</v>
      </c>
      <c r="AF19" s="4">
        <f t="shared" si="14"/>
        <v>0.32619788033882458</v>
      </c>
      <c r="AG19" s="4">
        <f t="shared" si="14"/>
        <v>0.32619788033882458</v>
      </c>
      <c r="AH19" s="4">
        <f t="shared" si="14"/>
        <v>0.32619788033882458</v>
      </c>
      <c r="AI19" s="4">
        <f t="shared" si="14"/>
        <v>0.32619788033882458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1"/>
        <v>2.2517159451801021E-5</v>
      </c>
      <c r="L20" s="4">
        <f t="shared" si="11"/>
        <v>8.0649597967121964E-5</v>
      </c>
      <c r="M20" s="4">
        <f t="shared" si="11"/>
        <v>2.8819851781693308E-4</v>
      </c>
      <c r="N20" s="4">
        <f t="shared" si="11"/>
        <v>1.0211086414450173E-3</v>
      </c>
      <c r="O20" s="4">
        <f t="shared" si="11"/>
        <v>3.6398974953330489E-3</v>
      </c>
      <c r="P20" s="4">
        <f t="shared" ref="P20:Y20" si="15">((EXP(g*(ah-age)/gh)/(1+EXP((ah-age)/gh))) *(1/(1-g))*((1-g)/g)^g) *(sr_3+(1-sr_3)*dmr)</f>
        <v>3.3247090371016599E-2</v>
      </c>
      <c r="Q20" s="4">
        <f t="shared" si="15"/>
        <v>0.52071142085930722</v>
      </c>
      <c r="R20" s="4">
        <f t="shared" si="15"/>
        <v>0.9390844473751867</v>
      </c>
      <c r="S20" s="4">
        <f t="shared" si="15"/>
        <v>0.99607472397654595</v>
      </c>
      <c r="T20" s="4">
        <f t="shared" si="15"/>
        <v>0.93522350057800274</v>
      </c>
      <c r="U20" s="4">
        <f t="shared" si="15"/>
        <v>0.8498760006410957</v>
      </c>
      <c r="V20" s="4">
        <f t="shared" si="15"/>
        <v>0.76585734156821039</v>
      </c>
      <c r="W20" s="4">
        <f t="shared" si="15"/>
        <v>0.6886827052361959</v>
      </c>
      <c r="X20" s="4">
        <f t="shared" si="15"/>
        <v>0.61895512421121124</v>
      </c>
      <c r="Y20" s="4">
        <f t="shared" si="15"/>
        <v>0.5562130005311563</v>
      </c>
      <c r="Z20" s="4">
        <f>Y20</f>
        <v>0.5562130005311563</v>
      </c>
      <c r="AA20" s="4">
        <f t="shared" ref="AA20:AI20" si="16">Z20</f>
        <v>0.5562130005311563</v>
      </c>
      <c r="AB20" s="4">
        <f t="shared" si="16"/>
        <v>0.5562130005311563</v>
      </c>
      <c r="AC20" s="4">
        <f t="shared" si="16"/>
        <v>0.5562130005311563</v>
      </c>
      <c r="AD20" s="4">
        <f t="shared" si="16"/>
        <v>0.5562130005311563</v>
      </c>
      <c r="AE20" s="4">
        <f t="shared" si="16"/>
        <v>0.5562130005311563</v>
      </c>
      <c r="AF20" s="4">
        <f t="shared" si="16"/>
        <v>0.5562130005311563</v>
      </c>
      <c r="AG20" s="4">
        <f t="shared" si="16"/>
        <v>0.5562130005311563</v>
      </c>
      <c r="AH20" s="4">
        <f t="shared" si="16"/>
        <v>0.5562130005311563</v>
      </c>
      <c r="AI20" s="4">
        <f t="shared" si="16"/>
        <v>0.5562130005311563</v>
      </c>
    </row>
    <row r="21" spans="1:39">
      <c r="A21" t="s">
        <v>42</v>
      </c>
      <c r="B21" s="1">
        <f>Bo/phie</f>
        <v>10156.738776787859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7.2554663185763085E-9</v>
      </c>
      <c r="L22" s="1">
        <f t="shared" ca="1" si="17"/>
        <v>1.2211471996272512E-7</v>
      </c>
      <c r="M22" s="1">
        <f t="shared" ca="1" si="17"/>
        <v>9.3965507140364481E-7</v>
      </c>
      <c r="N22" s="1">
        <f t="shared" ca="1" si="17"/>
        <v>5.1611450712587645E-6</v>
      </c>
      <c r="O22" s="1">
        <f t="shared" ca="1" si="17"/>
        <v>2.3740485865533143E-5</v>
      </c>
      <c r="P22" s="1">
        <f t="shared" ca="1" si="17"/>
        <v>1.3399250958518204E-4</v>
      </c>
      <c r="Q22" s="1">
        <f t="shared" ca="1" si="17"/>
        <v>1.7743075494623889E-3</v>
      </c>
      <c r="R22" s="1">
        <f t="shared" ca="1" si="17"/>
        <v>7.5636282059062697E-3</v>
      </c>
      <c r="S22" s="1">
        <f t="shared" ca="1" si="17"/>
        <v>2.5320349232682626E-2</v>
      </c>
      <c r="T22" s="1">
        <f t="shared" ca="1" si="17"/>
        <v>8.103757376010276E-2</v>
      </c>
      <c r="U22" s="1">
        <f t="shared" ca="1" si="17"/>
        <v>0.25083535170046461</v>
      </c>
      <c r="V22" s="1">
        <f t="shared" ca="1" si="17"/>
        <v>0.75115787446358107</v>
      </c>
      <c r="W22" s="1">
        <f t="shared" ca="1" si="17"/>
        <v>2.1581708640926989</v>
      </c>
      <c r="X22" s="1">
        <f t="shared" ca="1" si="17"/>
        <v>5.8020269382928387</v>
      </c>
      <c r="Y22" s="1">
        <f t="shared" ca="1" si="17"/>
        <v>13.859839979408394</v>
      </c>
      <c r="Z22" s="1">
        <f t="shared" ca="1" si="17"/>
        <v>27.406613567663037</v>
      </c>
      <c r="AA22" s="1">
        <f t="shared" ca="1" si="17"/>
        <v>43.325100061520693</v>
      </c>
      <c r="AB22" s="1">
        <f t="shared" ca="1" si="17"/>
        <v>56.924244653279473</v>
      </c>
      <c r="AC22" s="1">
        <f t="shared" ca="1" si="17"/>
        <v>66.876891644132087</v>
      </c>
      <c r="AD22" s="1">
        <f t="shared" ca="1" si="17"/>
        <v>74.249090715036303</v>
      </c>
      <c r="AE22" s="1">
        <f t="shared" ca="1" si="17"/>
        <v>80.202357921633023</v>
      </c>
      <c r="AF22" s="1">
        <f t="shared" ca="1" si="17"/>
        <v>85.405426566587892</v>
      </c>
      <c r="AG22" s="1">
        <f t="shared" ca="1" si="17"/>
        <v>90.172716314044081</v>
      </c>
      <c r="AH22" s="1">
        <f t="shared" ca="1" si="17"/>
        <v>94.640134805060129</v>
      </c>
      <c r="AI22" s="1">
        <f t="shared" ca="1" si="17"/>
        <v>98.864329251815164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3.6367816802723425E-4</v>
      </c>
      <c r="L23" s="1">
        <f t="shared" ca="1" si="18"/>
        <v>3.0944189322110245E-2</v>
      </c>
      <c r="M23" s="1">
        <f ca="1">wa*flt2_*(1-EXP(-za))/za</f>
        <v>0.63919963156238613</v>
      </c>
      <c r="N23" s="1">
        <f t="shared" ca="1" si="18"/>
        <v>2.2063421788760187</v>
      </c>
      <c r="O23" s="1">
        <f t="shared" ca="1" si="18"/>
        <v>3.8036766532583743</v>
      </c>
      <c r="P23" s="1">
        <f t="shared" ca="1" si="18"/>
        <v>5.5311186177496623</v>
      </c>
      <c r="Q23" s="1">
        <f t="shared" ca="1" si="18"/>
        <v>7.3353814769464032</v>
      </c>
      <c r="R23" s="1">
        <f t="shared" ca="1" si="18"/>
        <v>9.1453178237691848</v>
      </c>
      <c r="S23" s="1">
        <f t="shared" ca="1" si="18"/>
        <v>10.910546881638588</v>
      </c>
      <c r="T23" s="1">
        <f t="shared" ca="1" si="18"/>
        <v>12.552797993136611</v>
      </c>
      <c r="U23" s="1">
        <f t="shared" ca="1" si="18"/>
        <v>14.014648652181567</v>
      </c>
      <c r="V23" s="1">
        <f t="shared" ca="1" si="18"/>
        <v>15.255280016458794</v>
      </c>
      <c r="W23" s="1">
        <f t="shared" ca="1" si="18"/>
        <v>16.239402907230751</v>
      </c>
      <c r="X23" s="1">
        <f t="shared" ca="1" si="18"/>
        <v>16.924215575021126</v>
      </c>
      <c r="Y23" s="1">
        <f t="shared" ca="1" si="18"/>
        <v>17.261779163892925</v>
      </c>
      <c r="Z23" s="1">
        <f t="shared" ca="1" si="18"/>
        <v>18.793570626057328</v>
      </c>
      <c r="AA23" s="1">
        <f t="shared" ca="1" si="18"/>
        <v>20.224315594932154</v>
      </c>
      <c r="AB23" s="1">
        <f t="shared" ca="1" si="18"/>
        <v>21.698057271167137</v>
      </c>
      <c r="AC23" s="1">
        <f t="shared" ca="1" si="18"/>
        <v>23.251963152656803</v>
      </c>
      <c r="AD23" s="1">
        <f t="shared" ca="1" si="18"/>
        <v>24.842646853518943</v>
      </c>
      <c r="AE23" s="1">
        <f t="shared" ca="1" si="18"/>
        <v>26.423786933415709</v>
      </c>
      <c r="AF23" s="1">
        <f t="shared" ca="1" si="18"/>
        <v>27.967092667619358</v>
      </c>
      <c r="AG23" s="1">
        <f t="shared" ca="1" si="18"/>
        <v>29.457785966995541</v>
      </c>
      <c r="AH23" s="1">
        <f t="shared" ca="1" si="18"/>
        <v>30.88847961537299</v>
      </c>
      <c r="AI23" s="1">
        <f t="shared" ca="1" si="18"/>
        <v>32.255609759123544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1.4668579634196584E-6</v>
      </c>
      <c r="L24" s="1">
        <f t="shared" ca="1" si="19"/>
        <v>3.4586908858443092E-5</v>
      </c>
      <c r="M24" s="1">
        <f t="shared" ca="1" si="19"/>
        <v>3.7199269226680879E-4</v>
      </c>
      <c r="N24" s="1">
        <f t="shared" ca="1" si="19"/>
        <v>2.8312594408696936E-3</v>
      </c>
      <c r="O24" s="1">
        <f t="shared" ca="1" si="19"/>
        <v>1.8012551966964382E-2</v>
      </c>
      <c r="P24" s="1">
        <f t="shared" ca="1" si="19"/>
        <v>0.2599440407638649</v>
      </c>
      <c r="Q24" s="1">
        <f t="shared" ca="1" si="19"/>
        <v>5.8830314619421866</v>
      </c>
      <c r="R24" s="1">
        <f t="shared" ca="1" si="19"/>
        <v>14.416049669206801</v>
      </c>
      <c r="S24" s="1">
        <f t="shared" ca="1" si="19"/>
        <v>19.881488394225649</v>
      </c>
      <c r="T24" s="1">
        <f t="shared" ca="1" si="19"/>
        <v>23.406390725704874</v>
      </c>
      <c r="U24" s="1">
        <f t="shared" ca="1" si="19"/>
        <v>25.881196544991589</v>
      </c>
      <c r="V24" s="1">
        <f t="shared" ca="1" si="19"/>
        <v>27.66831478212687</v>
      </c>
      <c r="W24" s="1">
        <f t="shared" ca="1" si="19"/>
        <v>28.865025919940667</v>
      </c>
      <c r="X24" s="1">
        <f t="shared" ca="1" si="19"/>
        <v>29.465818067693132</v>
      </c>
      <c r="Y24" s="1">
        <f t="shared" ca="1" si="19"/>
        <v>29.43374731093348</v>
      </c>
      <c r="Z24" s="1">
        <f t="shared" ca="1" si="19"/>
        <v>32.045665955142582</v>
      </c>
      <c r="AA24" s="1">
        <f t="shared" ca="1" si="19"/>
        <v>34.485286198248154</v>
      </c>
      <c r="AB24" s="1">
        <f t="shared" ca="1" si="19"/>
        <v>36.998221839936058</v>
      </c>
      <c r="AC24" s="1">
        <f t="shared" ca="1" si="19"/>
        <v>39.647848661510182</v>
      </c>
      <c r="AD24" s="1">
        <f t="shared" ca="1" si="19"/>
        <v>42.360186808016621</v>
      </c>
      <c r="AE24" s="1">
        <f t="shared" ca="1" si="19"/>
        <v>45.056251746225172</v>
      </c>
      <c r="AF24" s="1">
        <f t="shared" ca="1" si="19"/>
        <v>47.687803834383182</v>
      </c>
      <c r="AG24" s="1">
        <f t="shared" ca="1" si="19"/>
        <v>50.229644363992001</v>
      </c>
      <c r="AH24" s="1">
        <f t="shared" ca="1" si="19"/>
        <v>52.66917709847305</v>
      </c>
      <c r="AI24" s="1">
        <f t="shared" ca="1" si="19"/>
        <v>55.000325169031413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F26" t="s">
        <v>143</v>
      </c>
      <c r="J26" s="8" t="s">
        <v>30</v>
      </c>
      <c r="K26">
        <f ca="1">qa1_/wa</f>
        <v>1.0341527799201818E-7</v>
      </c>
      <c r="L26">
        <f t="shared" ref="L26:AI26" ca="1" si="20">qa1_/wa</f>
        <v>2.6409645291144365E-7</v>
      </c>
      <c r="M26">
        <f t="shared" ca="1" si="20"/>
        <v>6.7038285304103072E-7</v>
      </c>
      <c r="N26">
        <f t="shared" ca="1" si="20"/>
        <v>1.7054175044852933E-6</v>
      </c>
      <c r="O26">
        <f t="shared" ca="1" si="20"/>
        <v>4.3972707243045222E-6</v>
      </c>
      <c r="P26">
        <f t="shared" ca="1" si="20"/>
        <v>1.5720201674095947E-5</v>
      </c>
      <c r="Q26">
        <f t="shared" ca="1" si="20"/>
        <v>1.4352172188569835E-4</v>
      </c>
      <c r="R26">
        <f t="shared" ca="1" si="20"/>
        <v>4.4886670423506108E-4</v>
      </c>
      <c r="S26">
        <f t="shared" ca="1" si="20"/>
        <v>1.1559265798003462E-3</v>
      </c>
      <c r="T26">
        <f t="shared" ca="1" si="20"/>
        <v>2.9538151325549915E-3</v>
      </c>
      <c r="U26">
        <f t="shared" ca="1" si="20"/>
        <v>7.5217675114448027E-3</v>
      </c>
      <c r="V26">
        <f t="shared" ca="1" si="20"/>
        <v>1.8990979452141676E-2</v>
      </c>
      <c r="W26">
        <f t="shared" ca="1" si="20"/>
        <v>4.6951464337441469E-2</v>
      </c>
      <c r="X26">
        <f t="shared" ca="1" si="20"/>
        <v>0.11049911108807681</v>
      </c>
      <c r="Y26">
        <f t="shared" ca="1" si="20"/>
        <v>0.23448489237556516</v>
      </c>
      <c r="Z26">
        <f t="shared" ca="1" si="20"/>
        <v>0.41711755475101681</v>
      </c>
      <c r="AA26">
        <f t="shared" ca="1" si="20"/>
        <v>0.59969056070340476</v>
      </c>
      <c r="AB26">
        <f t="shared" ca="1" si="20"/>
        <v>0.72343980492962179</v>
      </c>
      <c r="AC26">
        <f t="shared" ca="1" si="20"/>
        <v>0.78691010330942146</v>
      </c>
      <c r="AD26">
        <f t="shared" ca="1" si="20"/>
        <v>0.81485930995060607</v>
      </c>
      <c r="AE26">
        <f t="shared" ca="1" si="20"/>
        <v>0.826333045925149</v>
      </c>
      <c r="AF26">
        <f t="shared" ca="1" si="20"/>
        <v>0.83090469091148667</v>
      </c>
      <c r="AG26">
        <f t="shared" ca="1" si="20"/>
        <v>0.83270228631403476</v>
      </c>
      <c r="AH26">
        <f t="shared" ca="1" si="20"/>
        <v>0.83340319916944772</v>
      </c>
      <c r="AI26">
        <f t="shared" ca="1" si="20"/>
        <v>0.83367336250870638</v>
      </c>
      <c r="AM26" s="44"/>
    </row>
    <row r="27" spans="1:39">
      <c r="A27" t="s">
        <v>14</v>
      </c>
      <c r="B27" s="28">
        <f ca="1">fbar*C27</f>
        <v>0.20286225461440202</v>
      </c>
      <c r="C27" s="36">
        <f ca="1">CHOOSE(C$25,E36,E39,1)</f>
        <v>2.3646075565661011</v>
      </c>
      <c r="E27" s="42">
        <f ca="1">f1_/(F4/(f1_*365*re*phib))</f>
        <v>368.50300704631826</v>
      </c>
      <c r="F27" s="109">
        <f ca="1">F4/E27</f>
        <v>71.25858939315772</v>
      </c>
      <c r="J27" s="8" t="s">
        <v>31</v>
      </c>
      <c r="K27">
        <f t="shared" ref="K27:AI27" ca="1" si="21">qa2_/wa</f>
        <v>5.1836611452348745E-3</v>
      </c>
      <c r="L27">
        <f t="shared" ca="1" si="21"/>
        <v>6.6922731679555272E-2</v>
      </c>
      <c r="M27">
        <f t="shared" ca="1" si="21"/>
        <v>0.45602741443141215</v>
      </c>
      <c r="N27">
        <f t="shared" ca="1" si="21"/>
        <v>0.72905034072636166</v>
      </c>
      <c r="O27">
        <f t="shared" ca="1" si="21"/>
        <v>0.70452627156954939</v>
      </c>
      <c r="P27">
        <f t="shared" ca="1" si="21"/>
        <v>0.64891911065442998</v>
      </c>
      <c r="Q27">
        <f t="shared" ca="1" si="21"/>
        <v>0.59335067394533525</v>
      </c>
      <c r="R27">
        <f t="shared" ca="1" si="21"/>
        <v>0.54273274134917282</v>
      </c>
      <c r="S27">
        <f t="shared" ca="1" si="21"/>
        <v>0.49808914658905906</v>
      </c>
      <c r="T27">
        <f t="shared" ca="1" si="21"/>
        <v>0.45754880048355773</v>
      </c>
      <c r="U27">
        <f t="shared" ca="1" si="21"/>
        <v>0.42025547117526874</v>
      </c>
      <c r="V27">
        <f t="shared" ca="1" si="21"/>
        <v>0.3856881744548401</v>
      </c>
      <c r="W27">
        <f t="shared" ca="1" si="21"/>
        <v>0.35329165041838789</v>
      </c>
      <c r="X27">
        <f t="shared" ca="1" si="21"/>
        <v>0.32232025062832126</v>
      </c>
      <c r="Y27">
        <f t="shared" ca="1" si="21"/>
        <v>0.29203991066778379</v>
      </c>
      <c r="Z27">
        <f t="shared" ca="1" si="21"/>
        <v>0.28603053074134366</v>
      </c>
      <c r="AA27">
        <f t="shared" ca="1" si="21"/>
        <v>0.2799377529825785</v>
      </c>
      <c r="AB27">
        <f t="shared" ca="1" si="21"/>
        <v>0.27575663788277566</v>
      </c>
      <c r="AC27">
        <f t="shared" ca="1" si="21"/>
        <v>0.27359532234195066</v>
      </c>
      <c r="AD27">
        <f t="shared" ca="1" si="21"/>
        <v>0.27263986504693377</v>
      </c>
      <c r="AE27">
        <f t="shared" ca="1" si="21"/>
        <v>0.27224696265042142</v>
      </c>
      <c r="AF27">
        <f t="shared" ca="1" si="21"/>
        <v>0.27209030412796131</v>
      </c>
      <c r="AG27">
        <f t="shared" ca="1" si="21"/>
        <v>0.27202868813486419</v>
      </c>
      <c r="AH27">
        <f t="shared" ca="1" si="21"/>
        <v>0.27200466041132204</v>
      </c>
      <c r="AI27">
        <f t="shared" ca="1" si="21"/>
        <v>0.27199539865551103</v>
      </c>
    </row>
    <row r="28" spans="1:39">
      <c r="A28" t="s">
        <v>15</v>
      </c>
      <c r="B28" s="28">
        <f ca="1">fbar*C28</f>
        <v>3.4736270505243631E-2</v>
      </c>
      <c r="C28" s="36">
        <f ca="1">CHOOSE(C$25,E37,E40,1)</f>
        <v>0.40489369439252981</v>
      </c>
      <c r="E28" s="42">
        <f ca="1">f2_/(F5/(f2_*365*re*phib))</f>
        <v>28.970922955021663</v>
      </c>
      <c r="F28" s="109">
        <f t="shared" ref="F28:F29" ca="1" si="22">F5/E28</f>
        <v>338.03254200778548</v>
      </c>
      <c r="J28" s="8" t="s">
        <v>32</v>
      </c>
      <c r="K28">
        <f t="shared" ref="K28:AI28" ca="1" si="23">qa3_/wa</f>
        <v>2.0907756634947183E-5</v>
      </c>
      <c r="L28">
        <f t="shared" ca="1" si="23"/>
        <v>7.4800809840733375E-5</v>
      </c>
      <c r="M28">
        <f t="shared" ca="1" si="23"/>
        <v>2.6539262112396252E-4</v>
      </c>
      <c r="N28">
        <f t="shared" ca="1" si="23"/>
        <v>9.3554421422624141E-4</v>
      </c>
      <c r="O28">
        <f t="shared" ca="1" si="23"/>
        <v>3.3363288301247059E-3</v>
      </c>
      <c r="P28">
        <f t="shared" ca="1" si="23"/>
        <v>3.0497023732431669E-2</v>
      </c>
      <c r="Q28">
        <f t="shared" ca="1" si="23"/>
        <v>0.475871731246093</v>
      </c>
      <c r="R28">
        <f t="shared" ca="1" si="23"/>
        <v>0.85552654452962518</v>
      </c>
      <c r="S28">
        <f t="shared" ca="1" si="23"/>
        <v>0.90763127592307291</v>
      </c>
      <c r="T28">
        <f t="shared" ca="1" si="23"/>
        <v>0.85316166212913769</v>
      </c>
      <c r="U28">
        <f t="shared" ca="1" si="23"/>
        <v>0.77609612046193333</v>
      </c>
      <c r="V28">
        <f t="shared" ca="1" si="23"/>
        <v>0.69951792474783536</v>
      </c>
      <c r="W28">
        <f t="shared" ca="1" si="23"/>
        <v>0.62796475368467686</v>
      </c>
      <c r="X28">
        <f t="shared" ca="1" si="23"/>
        <v>0.56117400670343986</v>
      </c>
      <c r="Y28">
        <f t="shared" ca="1" si="23"/>
        <v>0.49796888569188363</v>
      </c>
      <c r="Z28">
        <f t="shared" ca="1" si="23"/>
        <v>0.48772205258326518</v>
      </c>
      <c r="AA28">
        <f t="shared" ca="1" si="23"/>
        <v>0.47733301450842502</v>
      </c>
      <c r="AB28">
        <f t="shared" ca="1" si="23"/>
        <v>0.47020362858840664</v>
      </c>
      <c r="AC28">
        <f t="shared" ca="1" si="23"/>
        <v>0.46651828335928308</v>
      </c>
      <c r="AD28">
        <f t="shared" ca="1" si="23"/>
        <v>0.46488909506293763</v>
      </c>
      <c r="AE28">
        <f t="shared" ca="1" si="23"/>
        <v>0.464219141534567</v>
      </c>
      <c r="AF28">
        <f t="shared" ca="1" si="23"/>
        <v>0.46395201684710491</v>
      </c>
      <c r="AG28">
        <f t="shared" ca="1" si="23"/>
        <v>0.46384695296267464</v>
      </c>
      <c r="AH28">
        <f t="shared" ca="1" si="23"/>
        <v>0.46380598233406922</v>
      </c>
      <c r="AI28">
        <f t="shared" ca="1" si="23"/>
        <v>0.46379018974527453</v>
      </c>
    </row>
    <row r="29" spans="1:39">
      <c r="A29" t="s">
        <v>19</v>
      </c>
      <c r="B29" s="28">
        <f ca="1">fbar*C29</f>
        <v>1.9774738428154155E-2</v>
      </c>
      <c r="C29" s="36">
        <f ca="1">CHOOSE(C$25,E38,E41,1)</f>
        <v>0.23049874904136913</v>
      </c>
      <c r="E29" s="42">
        <f ca="1">f3_/(F6/(f3_*365*re*phib))</f>
        <v>12.347614650949918</v>
      </c>
      <c r="F29" s="109">
        <f t="shared" ca="1" si="22"/>
        <v>603.07615556121073</v>
      </c>
    </row>
    <row r="30" spans="1:39">
      <c r="A30" t="s">
        <v>95</v>
      </c>
      <c r="B30" s="28">
        <v>8.5791087849266603E-2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0.25737326354779982</v>
      </c>
      <c r="G31">
        <f ca="1">SUMPRODUCT(dlz1_,wa,ma)</f>
        <v>-49.620985674623554</v>
      </c>
      <c r="H31">
        <f ca="1">Ro/(reck-1)*phie/phif^2*dphif</f>
        <v>-2908.4478752161313</v>
      </c>
      <c r="J31" s="8" t="s">
        <v>52</v>
      </c>
      <c r="K31">
        <v>0</v>
      </c>
      <c r="L31">
        <f t="shared" ref="L31:AH31" ca="1" si="24">K31*sa-K$7*K18*K$10</f>
        <v>-9.5843414217916364E-8</v>
      </c>
      <c r="M31">
        <f t="shared" ca="1" si="24"/>
        <v>-2.9146194434777045E-7</v>
      </c>
      <c r="N31">
        <f t="shared" ca="1" si="24"/>
        <v>-6.9905617037519657E-7</v>
      </c>
      <c r="O31">
        <f t="shared" ca="1" si="24"/>
        <v>-1.5598842318766852E-6</v>
      </c>
      <c r="P31">
        <f t="shared" ca="1" si="24"/>
        <v>-3.4129055773465281E-6</v>
      </c>
      <c r="Q31">
        <f t="shared" ca="1" si="24"/>
        <v>-9.1497874615849967E-6</v>
      </c>
      <c r="R31">
        <f t="shared" ca="1" si="24"/>
        <v>-5.5709418281318834E-5</v>
      </c>
      <c r="S31">
        <f t="shared" ca="1" si="24"/>
        <v>-1.7109025018455741E-4</v>
      </c>
      <c r="T31">
        <f t="shared" ca="1" si="24"/>
        <v>-4.0833747610356216E-4</v>
      </c>
      <c r="U31">
        <f t="shared" ca="1" si="24"/>
        <v>-9.0372037623007336E-4</v>
      </c>
      <c r="V31">
        <f t="shared" ca="1" si="24"/>
        <v>-1.9452227171038339E-3</v>
      </c>
      <c r="W31">
        <f t="shared" ca="1" si="24"/>
        <v>-4.1187307711275638E-3</v>
      </c>
      <c r="X31">
        <f t="shared" ca="1" si="24"/>
        <v>-8.5196063891643942E-3</v>
      </c>
      <c r="Y31">
        <f t="shared" ca="1" si="24"/>
        <v>-1.6777489919947902E-2</v>
      </c>
      <c r="Z31">
        <f t="shared" ca="1" si="24"/>
        <v>-2.9936212788337781E-2</v>
      </c>
      <c r="AA31">
        <f t="shared" ca="1" si="24"/>
        <v>-4.5622543004018919E-2</v>
      </c>
      <c r="AB31">
        <f t="shared" ca="1" si="24"/>
        <v>-5.7771089006379145E-2</v>
      </c>
      <c r="AC31">
        <f t="shared" ca="1" si="24"/>
        <v>-6.2286316289290752E-2</v>
      </c>
      <c r="AD31">
        <f t="shared" ca="1" si="24"/>
        <v>-5.9868363454821841E-2</v>
      </c>
      <c r="AE31">
        <f t="shared" ca="1" si="24"/>
        <v>-5.3314756460783888E-2</v>
      </c>
      <c r="AF31">
        <f t="shared" ca="1" si="24"/>
        <v>-4.5120261035106961E-2</v>
      </c>
      <c r="AG31">
        <f t="shared" ca="1" si="24"/>
        <v>-3.6864674347423208E-2</v>
      </c>
      <c r="AH31">
        <f t="shared" ca="1" si="24"/>
        <v>-2.9365800018283504E-2</v>
      </c>
      <c r="AI31">
        <f ca="1">(AH31*sa-AH$7*AH18*AH$10)/oa-AH$7*AH$10*flt1_*sa/oa^2</f>
        <v>-9.2854235692592255E-2</v>
      </c>
    </row>
    <row r="32" spans="1:39">
      <c r="A32" s="12" t="s">
        <v>22</v>
      </c>
      <c r="B32" s="12"/>
      <c r="C32" s="12"/>
      <c r="G32">
        <f ca="1">SUMPRODUCT(dlz2_,wa,ma)</f>
        <v>-250.06113587776082</v>
      </c>
      <c r="H32">
        <f ca="1">Ro/(reck-1)*phie/phif^2*dphif</f>
        <v>-14656.899080699755</v>
      </c>
      <c r="J32" s="8" t="s">
        <v>53</v>
      </c>
      <c r="K32">
        <v>0</v>
      </c>
      <c r="L32">
        <f t="shared" ref="L32:AH32" ca="1" si="25">K32*sa-K$7*K19*K$10</f>
        <v>-4.8041236455063294E-3</v>
      </c>
      <c r="M32">
        <f t="shared" ca="1" si="25"/>
        <v>-5.7374265300627836E-2</v>
      </c>
      <c r="N32">
        <f t="shared" ca="1" si="25"/>
        <v>-0.35757355476503083</v>
      </c>
      <c r="O32">
        <f t="shared" ca="1" si="25"/>
        <v>-0.71605310719217852</v>
      </c>
      <c r="P32">
        <f t="shared" ca="1" si="25"/>
        <v>-0.93801662533912511</v>
      </c>
      <c r="Q32">
        <f t="shared" ca="1" si="25"/>
        <v>-1.0416034966679106</v>
      </c>
      <c r="R32">
        <f t="shared" ca="1" si="25"/>
        <v>-1.0609252182679687</v>
      </c>
      <c r="S32">
        <f t="shared" ca="1" si="25"/>
        <v>-1.0293763331823607</v>
      </c>
      <c r="T32">
        <f t="shared" ca="1" si="25"/>
        <v>-0.96895215384755695</v>
      </c>
      <c r="U32">
        <f t="shared" ca="1" si="25"/>
        <v>-0.89312294324713626</v>
      </c>
      <c r="V32">
        <f t="shared" ca="1" si="25"/>
        <v>-0.809676312742861</v>
      </c>
      <c r="W32">
        <f t="shared" ca="1" si="25"/>
        <v>-0.72212682667603978</v>
      </c>
      <c r="X32">
        <f t="shared" ca="1" si="25"/>
        <v>-0.63034915724358953</v>
      </c>
      <c r="Y32">
        <f t="shared" ca="1" si="25"/>
        <v>-0.53221578053278773</v>
      </c>
      <c r="Z32">
        <f t="shared" ca="1" si="25"/>
        <v>-0.42807241421639902</v>
      </c>
      <c r="AA32">
        <f t="shared" ca="1" si="25"/>
        <v>-0.32897739777559504</v>
      </c>
      <c r="AB32">
        <f t="shared" ca="1" si="25"/>
        <v>-0.24467011955090284</v>
      </c>
      <c r="AC32">
        <f t="shared" ca="1" si="25"/>
        <v>-0.17866700804431329</v>
      </c>
      <c r="AD32">
        <f t="shared" ca="1" si="25"/>
        <v>-0.12925659788327223</v>
      </c>
      <c r="AE32">
        <f t="shared" ca="1" si="25"/>
        <v>-9.3044533744929284E-2</v>
      </c>
      <c r="AF32">
        <f t="shared" ca="1" si="25"/>
        <v>-6.6772265105654649E-2</v>
      </c>
      <c r="AG32">
        <f t="shared" ca="1" si="25"/>
        <v>-4.7812703245695178E-2</v>
      </c>
      <c r="AH32">
        <f t="shared" ca="1" si="25"/>
        <v>-3.4175426301438938E-2</v>
      </c>
      <c r="AI32">
        <f ca="1">(AH32*sa-AH$7*AH19*AH$10)/oa-AH$7*AH$10*flt2_*sa/oa^2</f>
        <v>-8.4324275470880491E-2</v>
      </c>
    </row>
    <row r="33" spans="1:35">
      <c r="A33" s="59" t="s">
        <v>130</v>
      </c>
      <c r="B33" s="60">
        <f ca="1">SUMPRODUCT(lz,wa)</f>
        <v>76.986640306460885</v>
      </c>
      <c r="C33" s="59"/>
      <c r="D33" s="61"/>
      <c r="E33" s="61"/>
      <c r="G33">
        <f ca="1">SUMPRODUCT(dlz3_,wa,ma)</f>
        <v>-236.1613449063033</v>
      </c>
      <c r="H33">
        <f ca="1">Ro/(reck-1)*phie/phif^2*dphif</f>
        <v>-13842.186979211645</v>
      </c>
      <c r="J33" s="8" t="s">
        <v>54</v>
      </c>
      <c r="K33">
        <v>0</v>
      </c>
      <c r="L33">
        <f t="shared" ref="L33:AH33" ca="1" si="26">K33*sa-K$7*K20*K$10</f>
        <v>-1.9376931711050422E-5</v>
      </c>
      <c r="M33">
        <f t="shared" ca="1" si="26"/>
        <v>-7.5978792519243722E-5</v>
      </c>
      <c r="N33">
        <f t="shared" ca="1" si="26"/>
        <v>-2.4375231945584667E-4</v>
      </c>
      <c r="O33">
        <f t="shared" ca="1" si="26"/>
        <v>-7.3861887154288844E-4</v>
      </c>
      <c r="P33">
        <f t="shared" ca="1" si="26"/>
        <v>-2.2160709508060026E-3</v>
      </c>
      <c r="Q33">
        <f t="shared" ca="1" si="26"/>
        <v>-1.4081771031616421E-2</v>
      </c>
      <c r="R33">
        <f t="shared" ca="1" si="26"/>
        <v>-0.1712628810398264</v>
      </c>
      <c r="S33">
        <f t="shared" ca="1" si="26"/>
        <v>-0.37997035294496551</v>
      </c>
      <c r="T33">
        <f t="shared" ca="1" si="26"/>
        <v>-0.52444959637987687</v>
      </c>
      <c r="U33">
        <f t="shared" ca="1" si="26"/>
        <v>-0.59905698454223377</v>
      </c>
      <c r="V33">
        <f t="shared" ca="1" si="26"/>
        <v>-0.62149766262248174</v>
      </c>
      <c r="W33">
        <f t="shared" ca="1" si="26"/>
        <v>-0.6075389532669615</v>
      </c>
      <c r="X33">
        <f t="shared" ca="1" si="26"/>
        <v>-0.56656799303113281</v>
      </c>
      <c r="Y33">
        <f t="shared" ca="1" si="26"/>
        <v>-0.50287644648400165</v>
      </c>
      <c r="Z33">
        <f t="shared" ca="1" si="26"/>
        <v>-0.42067865683783395</v>
      </c>
      <c r="AA33">
        <f t="shared" ca="1" si="26"/>
        <v>-0.33506323955448197</v>
      </c>
      <c r="AB33">
        <f t="shared" ca="1" si="26"/>
        <v>-0.25736669020429576</v>
      </c>
      <c r="AC33">
        <f t="shared" ca="1" si="26"/>
        <v>-0.19343836815606238</v>
      </c>
      <c r="AD33">
        <f t="shared" ca="1" si="26"/>
        <v>-0.14358954407512198</v>
      </c>
      <c r="AE33">
        <f t="shared" ca="1" si="26"/>
        <v>-0.10576643276154998</v>
      </c>
      <c r="AF33">
        <f t="shared" ca="1" si="26"/>
        <v>-7.7485527107778132E-2</v>
      </c>
      <c r="AG33">
        <f t="shared" ca="1" si="26"/>
        <v>-5.6527565533937646E-2</v>
      </c>
      <c r="AH33">
        <f t="shared" ca="1" si="26"/>
        <v>-4.1093175312320998E-2</v>
      </c>
      <c r="AI33">
        <f ca="1">(AH33*sa-AH$7*AH20*AH$10)/oa-AH$7*AH$10*flt3_*sa/oa^2</f>
        <v>-0.10604260213412915</v>
      </c>
    </row>
    <row r="34" spans="1:35">
      <c r="A34" t="s">
        <v>28</v>
      </c>
      <c r="B34" s="1">
        <f>SUMPRODUCT(lx,wa,ma)</f>
        <v>98.456800157683801</v>
      </c>
      <c r="G34" t="s">
        <v>57</v>
      </c>
      <c r="J34" s="8"/>
    </row>
    <row r="35" spans="1:35">
      <c r="A35" t="s">
        <v>27</v>
      </c>
      <c r="B35" s="1">
        <f ca="1">SUMPRODUCT(lz,wa,ma)</f>
        <v>39.382720062999333</v>
      </c>
      <c r="F35" s="37"/>
      <c r="G35" s="1">
        <f ca="1">SUM(dqa11_)</f>
        <v>674.42255440508461</v>
      </c>
      <c r="H35" s="1">
        <f ca="1">SUM(dqa12_)</f>
        <v>677.27579391769336</v>
      </c>
      <c r="I35" s="11">
        <f ca="1">SUM(dqa13_)</f>
        <v>675.63979902216329</v>
      </c>
      <c r="J35" s="8" t="s">
        <v>62</v>
      </c>
      <c r="K35">
        <f ca="1">flt1_*qa1_+lz*wa*flt1_^2/za*(sa-oa/za)</f>
        <v>4.1415204703652771E-16</v>
      </c>
      <c r="L35">
        <f t="shared" ref="L35:AI35" ca="1" si="27">flt1_*qa1_+lz*wa*flt1_^2/za*(sa-oa/za)</f>
        <v>2.0190632675818179E-14</v>
      </c>
      <c r="M35">
        <f t="shared" ca="1" si="27"/>
        <v>4.3840074178809849E-13</v>
      </c>
      <c r="N35">
        <f t="shared" ca="1" si="27"/>
        <v>6.6933370369342207E-12</v>
      </c>
      <c r="O35">
        <f t="shared" ca="1" si="27"/>
        <v>8.4968808526201862E-11</v>
      </c>
      <c r="P35">
        <f t="shared" ca="1" si="27"/>
        <v>1.8075332564591218E-9</v>
      </c>
      <c r="Q35">
        <f t="shared" ca="1" si="27"/>
        <v>2.2893282816879322E-7</v>
      </c>
      <c r="R35">
        <f t="shared" ca="1" si="27"/>
        <v>3.1735126800896949E-6</v>
      </c>
      <c r="S35">
        <f t="shared" ca="1" si="27"/>
        <v>2.8175124992493637E-5</v>
      </c>
      <c r="T35">
        <f t="shared" ca="1" si="27"/>
        <v>2.3570197260407546E-4</v>
      </c>
      <c r="U35">
        <f t="shared" ca="1" si="27"/>
        <v>1.8916236359875073E-3</v>
      </c>
      <c r="V35">
        <f t="shared" ca="1" si="27"/>
        <v>1.4521335016720264E-2</v>
      </c>
      <c r="W35">
        <f t="shared" ca="1" si="27"/>
        <v>0.10463878817986356</v>
      </c>
      <c r="X35">
        <f t="shared" ca="1" si="27"/>
        <v>0.67297489787432752</v>
      </c>
      <c r="Y35">
        <f t="shared" ca="1" si="27"/>
        <v>3.4870346626442634</v>
      </c>
      <c r="Z35">
        <f t="shared" ca="1" si="27"/>
        <v>12.630276081273268</v>
      </c>
      <c r="AA35">
        <f t="shared" ca="1" si="27"/>
        <v>29.558717324653969</v>
      </c>
      <c r="AB35">
        <f t="shared" ca="1" si="27"/>
        <v>47.876746948609103</v>
      </c>
      <c r="AC35">
        <f t="shared" ca="1" si="27"/>
        <v>61.983322976440398</v>
      </c>
      <c r="AD35">
        <f t="shared" ca="1" si="27"/>
        <v>71.77780983025859</v>
      </c>
      <c r="AE35">
        <f t="shared" ca="1" si="27"/>
        <v>78.945365135374885</v>
      </c>
      <c r="AF35">
        <f t="shared" ca="1" si="27"/>
        <v>84.734866012540877</v>
      </c>
      <c r="AG35">
        <f t="shared" ca="1" si="27"/>
        <v>89.791207635090274</v>
      </c>
      <c r="AH35">
        <f t="shared" ca="1" si="27"/>
        <v>94.408815860914089</v>
      </c>
      <c r="AI35">
        <f t="shared" ca="1" si="27"/>
        <v>98.43409801113522</v>
      </c>
    </row>
    <row r="36" spans="1:35">
      <c r="A36" t="s">
        <v>33</v>
      </c>
      <c r="B36" s="1">
        <f ca="1">SUMPRODUCT(lz,ta1_)</f>
        <v>0.19260674727890092</v>
      </c>
      <c r="C36" s="29">
        <f ca="1">B11/(phi_t1/SUM(B$36:B$38))</f>
        <v>5.385558655912928</v>
      </c>
      <c r="E36" s="38">
        <f ca="1">C36/AVERAGE(C$36:C$38)</f>
        <v>2.364607556565629</v>
      </c>
      <c r="G36" s="1">
        <f ca="1">SUM(dqa21_)</f>
        <v>677.27579391769336</v>
      </c>
      <c r="H36" s="1">
        <f ca="1">SUM(dqa22_)</f>
        <v>137.71912258411493</v>
      </c>
      <c r="I36" s="11">
        <f ca="1">SUM(dqa23_)</f>
        <v>670.31436331645057</v>
      </c>
      <c r="J36" s="8" t="s">
        <v>63</v>
      </c>
      <c r="K36">
        <f t="shared" ref="K36:AI36" ca="1" si="28">flt2_*qa2_+lz*wa*flt2_^2/za*(sa-oa/za)</f>
        <v>1.0405515799115443E-6</v>
      </c>
      <c r="L36">
        <f t="shared" ca="1" si="28"/>
        <v>1.2964987760301491E-3</v>
      </c>
      <c r="M36">
        <f t="shared" ca="1" si="28"/>
        <v>0.20286512280689886</v>
      </c>
      <c r="N36">
        <f t="shared" ca="1" si="28"/>
        <v>1.2231966866883179</v>
      </c>
      <c r="O36">
        <f t="shared" ca="1" si="28"/>
        <v>2.1811598989728926</v>
      </c>
      <c r="P36">
        <f t="shared" ca="1" si="28"/>
        <v>3.0800034188705068</v>
      </c>
      <c r="Q36">
        <f t="shared" ca="1" si="28"/>
        <v>3.9128723595703216</v>
      </c>
      <c r="R36">
        <f t="shared" ca="1" si="28"/>
        <v>4.6395675086225552</v>
      </c>
      <c r="S36">
        <f t="shared" ca="1" si="28"/>
        <v>5.2314190324020604</v>
      </c>
      <c r="T36">
        <f t="shared" ca="1" si="28"/>
        <v>5.6555056070379459</v>
      </c>
      <c r="U36">
        <f t="shared" ca="1" si="28"/>
        <v>5.9050240742599653</v>
      </c>
      <c r="V36">
        <f t="shared" ca="1" si="28"/>
        <v>5.9894157964221693</v>
      </c>
      <c r="W36">
        <f t="shared" ca="1" si="28"/>
        <v>5.9246290698224637</v>
      </c>
      <c r="X36">
        <f t="shared" ca="1" si="28"/>
        <v>5.7260677298878431</v>
      </c>
      <c r="Y36">
        <f t="shared" ca="1" si="28"/>
        <v>5.4089248150864107</v>
      </c>
      <c r="Z36">
        <f t="shared" ca="1" si="28"/>
        <v>5.939100739904803</v>
      </c>
      <c r="AA36">
        <f t="shared" ca="1" si="28"/>
        <v>6.4410119198927358</v>
      </c>
      <c r="AB36">
        <f t="shared" ca="1" si="28"/>
        <v>6.9561955668555964</v>
      </c>
      <c r="AC36">
        <f t="shared" ca="1" si="28"/>
        <v>7.4927621860438274</v>
      </c>
      <c r="AD36">
        <f t="shared" ca="1" si="28"/>
        <v>8.0353288478926981</v>
      </c>
      <c r="AE36">
        <f t="shared" ca="1" si="28"/>
        <v>8.5692434693910933</v>
      </c>
      <c r="AF36">
        <f t="shared" ca="1" si="28"/>
        <v>9.0862745986905438</v>
      </c>
      <c r="AG36">
        <f t="shared" ca="1" si="28"/>
        <v>9.5826077802856133</v>
      </c>
      <c r="AH36">
        <f t="shared" ca="1" si="28"/>
        <v>10.056686551930424</v>
      </c>
      <c r="AI36">
        <f t="shared" ca="1" si="28"/>
        <v>10.477962263449605</v>
      </c>
    </row>
    <row r="37" spans="1:35">
      <c r="A37" t="s">
        <v>34</v>
      </c>
      <c r="B37" s="1">
        <f ca="1">SUMPRODUCT(lz,ta2_)</f>
        <v>2.4090935975264194</v>
      </c>
      <c r="C37" s="29">
        <f ca="1">B12/(phi_t2/SUM(B$36:B$38))</f>
        <v>0.92217363279017428</v>
      </c>
      <c r="E37" s="38">
        <f ca="1">C37/AVERAGE(C$36:C$38)</f>
        <v>0.40489369439271011</v>
      </c>
      <c r="G37" s="1">
        <f ca="1">SUM(dqa31_)</f>
        <v>675.63979902216329</v>
      </c>
      <c r="H37" s="1">
        <f ca="1">SUM(dqa32_)</f>
        <v>670.31436331645057</v>
      </c>
      <c r="I37" s="1">
        <f ca="1">SUM(dqa33_)</f>
        <v>382.99648508034795</v>
      </c>
      <c r="J37" s="8" t="s">
        <v>64</v>
      </c>
      <c r="K37">
        <f t="shared" ref="K37:AI37" ca="1" si="29">flt3_*qa3_+lz*wa*flt3_^2/za*(sa-oa/za)</f>
        <v>1.6927985464201097E-11</v>
      </c>
      <c r="L37">
        <f t="shared" ca="1" si="29"/>
        <v>1.6197104756753486E-9</v>
      </c>
      <c r="M37">
        <f t="shared" ca="1" si="29"/>
        <v>6.8707345968157244E-8</v>
      </c>
      <c r="N37">
        <f t="shared" ca="1" si="29"/>
        <v>2.0142338770469765E-6</v>
      </c>
      <c r="O37">
        <f t="shared" ca="1" si="29"/>
        <v>4.8913733865891237E-5</v>
      </c>
      <c r="P37">
        <f t="shared" ca="1" si="29"/>
        <v>6.8027574308690292E-3</v>
      </c>
      <c r="Q37">
        <f t="shared" ca="1" si="29"/>
        <v>2.5168226548213557</v>
      </c>
      <c r="R37">
        <f t="shared" ca="1" si="29"/>
        <v>11.528490138050572</v>
      </c>
      <c r="S37">
        <f t="shared" ca="1" si="29"/>
        <v>17.370977450837682</v>
      </c>
      <c r="T37">
        <f t="shared" ca="1" si="29"/>
        <v>19.663429178949528</v>
      </c>
      <c r="U37">
        <f t="shared" ca="1" si="29"/>
        <v>20.138445560692588</v>
      </c>
      <c r="V37">
        <f t="shared" ca="1" si="29"/>
        <v>19.701963596178992</v>
      </c>
      <c r="W37">
        <f t="shared" ca="1" si="29"/>
        <v>18.718237561408674</v>
      </c>
      <c r="X37">
        <f t="shared" ca="1" si="29"/>
        <v>17.357068986291193</v>
      </c>
      <c r="Y37">
        <f t="shared" ca="1" si="29"/>
        <v>15.726458981766223</v>
      </c>
      <c r="Z37">
        <f t="shared" ca="1" si="29"/>
        <v>17.267946471390939</v>
      </c>
      <c r="AA37">
        <f t="shared" ca="1" si="29"/>
        <v>18.727254162737363</v>
      </c>
      <c r="AB37">
        <f t="shared" ca="1" si="29"/>
        <v>20.225151576552449</v>
      </c>
      <c r="AC37">
        <f t="shared" ca="1" si="29"/>
        <v>21.785220021969334</v>
      </c>
      <c r="AD37">
        <f t="shared" ca="1" si="29"/>
        <v>23.362733602605743</v>
      </c>
      <c r="AE37">
        <f t="shared" ca="1" si="29"/>
        <v>24.915091359796278</v>
      </c>
      <c r="AF37">
        <f t="shared" ca="1" si="29"/>
        <v>26.418360331948588</v>
      </c>
      <c r="AG37">
        <f t="shared" ca="1" si="29"/>
        <v>27.861449982570704</v>
      </c>
      <c r="AH37">
        <f t="shared" ca="1" si="29"/>
        <v>29.23983489478162</v>
      </c>
      <c r="AI37">
        <f t="shared" ca="1" si="29"/>
        <v>30.464694811255587</v>
      </c>
    </row>
    <row r="38" spans="1:35">
      <c r="A38" t="s">
        <v>35</v>
      </c>
      <c r="B38" s="1">
        <f ca="1">SUMPRODUCT(lz,ta3_)</f>
        <v>1.3835059704126524</v>
      </c>
      <c r="C38" s="29">
        <f ca="1">B13/(phi_t3/SUM(B$36:B$38))</f>
        <v>0.52497697963943968</v>
      </c>
      <c r="E38" s="38">
        <f ca="1">C38/AVERAGE(C$36:C$38)</f>
        <v>0.23049874904166107</v>
      </c>
      <c r="G38" t="s">
        <v>69</v>
      </c>
      <c r="J38" s="8" t="s">
        <v>60</v>
      </c>
      <c r="K38">
        <f t="shared" ref="K38:AI38" ca="1" si="30">flt1_*qa1_+lz*wa*flt2_*flt1_/za*(sa-oa/za)</f>
        <v>-1.9744889443736538E-11</v>
      </c>
      <c r="L38">
        <f t="shared" ca="1" si="30"/>
        <v>-3.6948573573003873E-9</v>
      </c>
      <c r="M38">
        <f t="shared" ca="1" si="30"/>
        <v>-1.6710890238266067E-7</v>
      </c>
      <c r="N38">
        <f t="shared" ca="1" si="30"/>
        <v>-1.2455226829438485E-6</v>
      </c>
      <c r="O38">
        <f t="shared" ca="1" si="30"/>
        <v>-4.6339261180197019E-6</v>
      </c>
      <c r="P38">
        <f t="shared" ca="1" si="30"/>
        <v>-2.0175010713224848E-5</v>
      </c>
      <c r="Q38">
        <f t="shared" ca="1" si="30"/>
        <v>-2.0524908732245489E-4</v>
      </c>
      <c r="R38">
        <f t="shared" ca="1" si="30"/>
        <v>-6.6508276616926703E-4</v>
      </c>
      <c r="S38">
        <f t="shared" ca="1" si="30"/>
        <v>-1.66794644536802E-3</v>
      </c>
      <c r="T38">
        <f t="shared" ca="1" si="30"/>
        <v>-3.8722192939974424E-3</v>
      </c>
      <c r="U38">
        <f t="shared" ca="1" si="30"/>
        <v>-7.6815388454557262E-3</v>
      </c>
      <c r="V38">
        <f t="shared" ca="1" si="30"/>
        <v>-6.6557197965779417E-3</v>
      </c>
      <c r="W38">
        <f t="shared" ca="1" si="30"/>
        <v>6.2306903569458685E-2</v>
      </c>
      <c r="X38">
        <f t="shared" ca="1" si="30"/>
        <v>0.60749857245116734</v>
      </c>
      <c r="Y38">
        <f t="shared" ca="1" si="30"/>
        <v>3.4519323438542999</v>
      </c>
      <c r="Z38">
        <f t="shared" ca="1" si="30"/>
        <v>12.758143138005977</v>
      </c>
      <c r="AA38">
        <f t="shared" ca="1" si="30"/>
        <v>29.940722033839617</v>
      </c>
      <c r="AB38">
        <f t="shared" ca="1" si="30"/>
        <v>48.394933198694176</v>
      </c>
      <c r="AC38">
        <f t="shared" ca="1" si="30"/>
        <v>62.479663580509218</v>
      </c>
      <c r="AD38">
        <f t="shared" ca="1" si="30"/>
        <v>72.183725172008579</v>
      </c>
      <c r="AE38">
        <f t="shared" ca="1" si="30"/>
        <v>79.255099246616098</v>
      </c>
      <c r="AF38">
        <f t="shared" ca="1" si="30"/>
        <v>84.963986075013111</v>
      </c>
      <c r="AG38">
        <f t="shared" ca="1" si="30"/>
        <v>89.958144822948114</v>
      </c>
      <c r="AH38">
        <f t="shared" ca="1" si="30"/>
        <v>94.529409673190784</v>
      </c>
      <c r="AI38">
        <f t="shared" ca="1" si="30"/>
        <v>98.711003138510662</v>
      </c>
    </row>
    <row r="39" spans="1:35">
      <c r="A39" s="1" t="s">
        <v>36</v>
      </c>
      <c r="B39" s="1">
        <f ca="1">SUMPRODUCT(lz,qa1_)</f>
        <v>14.756786913384261</v>
      </c>
      <c r="C39" s="23">
        <f ca="1">B4/(phi_q1/SUM(B$39:B$41))</f>
        <v>3.6746663196058007</v>
      </c>
      <c r="D39" s="21"/>
      <c r="E39" s="39">
        <f ca="1">C39/AVERAGE(C$39:C$41)</f>
        <v>2.3646075565661011</v>
      </c>
      <c r="G39" s="1">
        <f ca="1">re*phi_q1+f1_*phi_q1*$H31+f1_*re*G35</f>
        <v>1320838.8620444278</v>
      </c>
      <c r="H39" s="1">
        <f ca="1">re*phi_q1+f1_*phi_q1*$H32+f1_*re*H35</f>
        <v>1290745.9612887385</v>
      </c>
      <c r="I39" s="1">
        <f ca="1">re*phi_q1+f1_*phi_q1*$H33+f1_*re*I35</f>
        <v>1290273.7038634371</v>
      </c>
      <c r="J39" s="8" t="s">
        <v>66</v>
      </c>
      <c r="K39">
        <f t="shared" ref="K39:AI39" ca="1" si="31">flt1_*qa1_+lz*wa*flt3_*flt1_/za*(sa-oa/za)</f>
        <v>-7.8834128304769789E-14</v>
      </c>
      <c r="L39">
        <f t="shared" ca="1" si="31"/>
        <v>-4.0950794513418748E-12</v>
      </c>
      <c r="M39">
        <f t="shared" ca="1" si="31"/>
        <v>-9.6568100095035489E-11</v>
      </c>
      <c r="N39">
        <f t="shared" ca="1" si="31"/>
        <v>-1.5887059239945212E-9</v>
      </c>
      <c r="O39">
        <f t="shared" ca="1" si="31"/>
        <v>-2.1830898320767949E-8</v>
      </c>
      <c r="P39">
        <f t="shared" ca="1" si="31"/>
        <v>-9.459694861035613E-7</v>
      </c>
      <c r="Q39">
        <f t="shared" ca="1" si="31"/>
        <v>-1.6455615153307645E-4</v>
      </c>
      <c r="R39">
        <f t="shared" ca="1" si="31"/>
        <v>-1.0505384891471414E-3</v>
      </c>
      <c r="S39">
        <f t="shared" ca="1" si="31"/>
        <v>-3.0657866612462301E-3</v>
      </c>
      <c r="T39">
        <f t="shared" ca="1" si="31"/>
        <v>-7.4471520144720194E-3</v>
      </c>
      <c r="U39">
        <f t="shared" ca="1" si="31"/>
        <v>-1.5935093917125248E-2</v>
      </c>
      <c r="V39">
        <f t="shared" ca="1" si="31"/>
        <v>-2.4779637608246891E-2</v>
      </c>
      <c r="W39">
        <f t="shared" ca="1" si="31"/>
        <v>2.4350962294493309E-2</v>
      </c>
      <c r="X39">
        <f t="shared" ca="1" si="31"/>
        <v>0.53366615754081692</v>
      </c>
      <c r="Y39">
        <f t="shared" ca="1" si="31"/>
        <v>3.3263380039709305</v>
      </c>
      <c r="Z39">
        <f t="shared" ca="1" si="31"/>
        <v>12.561405883035839</v>
      </c>
      <c r="AA39">
        <f t="shared" ca="1" si="31"/>
        <v>29.70489636584535</v>
      </c>
      <c r="AB39">
        <f t="shared" ca="1" si="31"/>
        <v>48.16986385418712</v>
      </c>
      <c r="AC39">
        <f t="shared" ca="1" si="31"/>
        <v>62.293120152265026</v>
      </c>
      <c r="AD39">
        <f t="shared" ca="1" si="31"/>
        <v>72.039803900581319</v>
      </c>
      <c r="AE39">
        <f t="shared" ca="1" si="31"/>
        <v>79.147786801845243</v>
      </c>
      <c r="AF39">
        <f t="shared" ca="1" si="31"/>
        <v>84.885320656505797</v>
      </c>
      <c r="AG39">
        <f t="shared" ca="1" si="31"/>
        <v>89.901032089596455</v>
      </c>
      <c r="AH39">
        <f t="shared" ca="1" si="31"/>
        <v>94.488208902234845</v>
      </c>
      <c r="AI39">
        <f t="shared" ca="1" si="31"/>
        <v>98.616449026591582</v>
      </c>
    </row>
    <row r="40" spans="1:35">
      <c r="A40" s="1" t="s">
        <v>37</v>
      </c>
      <c r="B40" s="1">
        <f ca="1">SUMPRODUCT(lz,qa2_)</f>
        <v>32.140486875662518</v>
      </c>
      <c r="C40" s="23">
        <f ca="1">B5/(phi_q2/SUM(B$39:B$41))</f>
        <v>0.62921613257705133</v>
      </c>
      <c r="D40" s="21"/>
      <c r="E40" s="39">
        <f ca="1">C40/AVERAGE(C$39:C$41)</f>
        <v>0.40489369439252981</v>
      </c>
      <c r="G40" s="1">
        <f ca="1">re*phi_q1+f1_*phi_q1*$H32+f1_*re*G36</f>
        <v>1290745.9612887385</v>
      </c>
      <c r="H40" s="1">
        <f ca="1">re*phi_q2+f2_*phi_q2*$H32+f2_*re*H36</f>
        <v>307526.70517291792</v>
      </c>
      <c r="I40" s="1">
        <f ca="1">re*phi_q3+f3_*phi_q3*$H33+f3_*re*I36</f>
        <v>481089.74807029217</v>
      </c>
      <c r="J40" s="8" t="s">
        <v>65</v>
      </c>
      <c r="K40">
        <f t="shared" ref="K40:AI40" ca="1" si="32">flt1_*qa1_+lz*wa*flt1_*flt2_/za*(sa-oa/za)</f>
        <v>-1.9744889443736538E-11</v>
      </c>
      <c r="L40">
        <f t="shared" ca="1" si="32"/>
        <v>-3.6948573573003865E-9</v>
      </c>
      <c r="M40">
        <f t="shared" ca="1" si="32"/>
        <v>-1.6710890238266067E-7</v>
      </c>
      <c r="N40">
        <f t="shared" ca="1" si="32"/>
        <v>-1.2455226829438487E-6</v>
      </c>
      <c r="O40">
        <f t="shared" ca="1" si="32"/>
        <v>-4.6339261180197027E-6</v>
      </c>
      <c r="P40">
        <f t="shared" ca="1" si="32"/>
        <v>-2.0175010713224848E-5</v>
      </c>
      <c r="Q40">
        <f t="shared" ca="1" si="32"/>
        <v>-2.0524908732245489E-4</v>
      </c>
      <c r="R40">
        <f t="shared" ca="1" si="32"/>
        <v>-6.6508276616926703E-4</v>
      </c>
      <c r="S40">
        <f t="shared" ca="1" si="32"/>
        <v>-1.66794644536802E-3</v>
      </c>
      <c r="T40">
        <f t="shared" ca="1" si="32"/>
        <v>-3.8722192939974424E-3</v>
      </c>
      <c r="U40">
        <f t="shared" ca="1" si="32"/>
        <v>-7.6815388454557262E-3</v>
      </c>
      <c r="V40">
        <f t="shared" ca="1" si="32"/>
        <v>-6.6557197965779417E-3</v>
      </c>
      <c r="W40">
        <f t="shared" ca="1" si="32"/>
        <v>6.2306903569458678E-2</v>
      </c>
      <c r="X40">
        <f t="shared" ca="1" si="32"/>
        <v>0.60749857245116734</v>
      </c>
      <c r="Y40">
        <f t="shared" ca="1" si="32"/>
        <v>3.4519323438542999</v>
      </c>
      <c r="Z40">
        <f t="shared" ca="1" si="32"/>
        <v>12.758143138005977</v>
      </c>
      <c r="AA40">
        <f t="shared" ca="1" si="32"/>
        <v>29.940722033839617</v>
      </c>
      <c r="AB40">
        <f t="shared" ca="1" si="32"/>
        <v>48.394933198694176</v>
      </c>
      <c r="AC40">
        <f t="shared" ca="1" si="32"/>
        <v>62.479663580509218</v>
      </c>
      <c r="AD40">
        <f t="shared" ca="1" si="32"/>
        <v>72.183725172008579</v>
      </c>
      <c r="AE40">
        <f t="shared" ca="1" si="32"/>
        <v>79.255099246616098</v>
      </c>
      <c r="AF40">
        <f t="shared" ca="1" si="32"/>
        <v>84.963986075013111</v>
      </c>
      <c r="AG40">
        <f t="shared" ca="1" si="32"/>
        <v>89.958144822948114</v>
      </c>
      <c r="AH40">
        <f t="shared" ca="1" si="32"/>
        <v>94.529409673190784</v>
      </c>
      <c r="AI40">
        <f t="shared" ca="1" si="32"/>
        <v>98.711003138510662</v>
      </c>
    </row>
    <row r="41" spans="1:35">
      <c r="A41" s="1" t="s">
        <v>38</v>
      </c>
      <c r="B41" s="1">
        <f ca="1">SUMPRODUCT(lz,qa3_)</f>
        <v>42.929840458092741</v>
      </c>
      <c r="C41" s="23">
        <f ca="1">B6/(phi_q3/SUM(B$39:B$41))</f>
        <v>0.35820150682577395</v>
      </c>
      <c r="D41" s="21"/>
      <c r="E41" s="39">
        <f ca="1">C41/AVERAGE(C$39:C$41)</f>
        <v>0.23049874904136913</v>
      </c>
      <c r="G41" s="1">
        <f ca="1">re*phi_q1+f1_*phi_q1*$H33+f1_*re*G37</f>
        <v>1290273.7038634371</v>
      </c>
      <c r="H41" s="1">
        <f ca="1">re*phi_q3+f3_*phi_q3*$H33+f3_*re*H37</f>
        <v>481089.74807029217</v>
      </c>
      <c r="I41" s="1">
        <f ca="1">re*phi_q3+f1_*phi_q3*$H33+f3_*re*I37</f>
        <v>322453.52545009309</v>
      </c>
      <c r="J41" s="8" t="s">
        <v>67</v>
      </c>
      <c r="K41">
        <f t="shared" ref="K41:AI41" ca="1" si="33">flt1_*qa1_+lz*wa*flt3_*flt2_/za*(sa-oa/za)</f>
        <v>-3.992042210135993E-9</v>
      </c>
      <c r="L41">
        <f t="shared" ca="1" si="33"/>
        <v>-1.0465150565137247E-6</v>
      </c>
      <c r="M41">
        <f t="shared" ca="1" si="33"/>
        <v>-6.6155705655688524E-5</v>
      </c>
      <c r="N41">
        <f t="shared" ca="1" si="33"/>
        <v>-6.8326407344281037E-4</v>
      </c>
      <c r="O41">
        <f t="shared" ca="1" si="33"/>
        <v>-3.5159720094145208E-3</v>
      </c>
      <c r="P41">
        <f t="shared" ca="1" si="33"/>
        <v>-3.9143758362399493E-2</v>
      </c>
      <c r="Q41">
        <f t="shared" ca="1" si="33"/>
        <v>-0.68146338602461998</v>
      </c>
      <c r="R41">
        <f t="shared" ca="1" si="33"/>
        <v>-1.274727065863795</v>
      </c>
      <c r="S41">
        <f t="shared" ca="1" si="33"/>
        <v>-1.3348571062214007</v>
      </c>
      <c r="T41">
        <f t="shared" ca="1" si="33"/>
        <v>-1.1939536794821775</v>
      </c>
      <c r="U41">
        <f t="shared" ca="1" si="33"/>
        <v>-1.0036941879193158</v>
      </c>
      <c r="V41">
        <f t="shared" ca="1" si="33"/>
        <v>-0.80481994424966785</v>
      </c>
      <c r="W41">
        <f t="shared" ca="1" si="33"/>
        <v>-0.54182800288812172</v>
      </c>
      <c r="X41">
        <f t="shared" ca="1" si="33"/>
        <v>0.20114210806999888</v>
      </c>
      <c r="Y41">
        <f t="shared" ca="1" si="33"/>
        <v>3.2517922095875438</v>
      </c>
      <c r="Z41">
        <f t="shared" ca="1" si="33"/>
        <v>12.710916692775516</v>
      </c>
      <c r="AA41">
        <f t="shared" ca="1" si="33"/>
        <v>30.008958946350404</v>
      </c>
      <c r="AB41">
        <f t="shared" ca="1" si="33"/>
        <v>48.506661820533914</v>
      </c>
      <c r="AC41">
        <f t="shared" ca="1" si="33"/>
        <v>62.587374814389563</v>
      </c>
      <c r="AD41">
        <f t="shared" ca="1" si="33"/>
        <v>72.271384510379775</v>
      </c>
      <c r="AE41">
        <f t="shared" ca="1" si="33"/>
        <v>79.321789891680993</v>
      </c>
      <c r="AF41">
        <f t="shared" ca="1" si="33"/>
        <v>85.013254360872679</v>
      </c>
      <c r="AG41">
        <f t="shared" ca="1" si="33"/>
        <v>89.994022474271347</v>
      </c>
      <c r="AH41">
        <f t="shared" ca="1" si="33"/>
        <v>94.555321833433268</v>
      </c>
      <c r="AI41">
        <f t="shared" ca="1" si="33"/>
        <v>98.770497227412619</v>
      </c>
    </row>
    <row r="42" spans="1:35">
      <c r="A42" s="1" t="s">
        <v>96</v>
      </c>
      <c r="B42" s="1">
        <f ca="1">SUMPRODUCT(lz/SUM(lz),len,ta1_)</f>
        <v>4.622189743919221</v>
      </c>
      <c r="J42" s="8" t="s">
        <v>68</v>
      </c>
      <c r="K42">
        <f t="shared" ref="K42:AI42" ca="1" si="34">flt1_*qa1_+lz*wa*flt1_*flt3_/za*(sa-oa/za)</f>
        <v>-7.8834128304769789E-14</v>
      </c>
      <c r="L42">
        <f t="shared" ca="1" si="34"/>
        <v>-4.0950794513418748E-12</v>
      </c>
      <c r="M42">
        <f t="shared" ca="1" si="34"/>
        <v>-9.6568100095035489E-11</v>
      </c>
      <c r="N42">
        <f t="shared" ca="1" si="34"/>
        <v>-1.5887059239945212E-9</v>
      </c>
      <c r="O42">
        <f t="shared" ca="1" si="34"/>
        <v>-2.1830898320767949E-8</v>
      </c>
      <c r="P42">
        <f t="shared" ca="1" si="34"/>
        <v>-9.459694861035613E-7</v>
      </c>
      <c r="Q42">
        <f t="shared" ca="1" si="34"/>
        <v>-1.6455615153307648E-4</v>
      </c>
      <c r="R42">
        <f t="shared" ca="1" si="34"/>
        <v>-1.0505384891471409E-3</v>
      </c>
      <c r="S42">
        <f t="shared" ca="1" si="34"/>
        <v>-3.0657866612462301E-3</v>
      </c>
      <c r="T42">
        <f t="shared" ca="1" si="34"/>
        <v>-7.4471520144720202E-3</v>
      </c>
      <c r="U42">
        <f t="shared" ca="1" si="34"/>
        <v>-1.5935093917125248E-2</v>
      </c>
      <c r="V42">
        <f t="shared" ca="1" si="34"/>
        <v>-2.4779637608246891E-2</v>
      </c>
      <c r="W42">
        <f t="shared" ca="1" si="34"/>
        <v>2.4350962294493309E-2</v>
      </c>
      <c r="X42">
        <f t="shared" ca="1" si="34"/>
        <v>0.53366615754081692</v>
      </c>
      <c r="Y42">
        <f t="shared" ca="1" si="34"/>
        <v>3.3263380039709305</v>
      </c>
      <c r="Z42">
        <f t="shared" ca="1" si="34"/>
        <v>12.561405883035839</v>
      </c>
      <c r="AA42">
        <f t="shared" ca="1" si="34"/>
        <v>29.70489636584535</v>
      </c>
      <c r="AB42">
        <f t="shared" ca="1" si="34"/>
        <v>48.16986385418712</v>
      </c>
      <c r="AC42">
        <f t="shared" ca="1" si="34"/>
        <v>62.293120152265026</v>
      </c>
      <c r="AD42">
        <f t="shared" ca="1" si="34"/>
        <v>72.039803900581319</v>
      </c>
      <c r="AE42">
        <f t="shared" ca="1" si="34"/>
        <v>79.147786801845243</v>
      </c>
      <c r="AF42">
        <f t="shared" ca="1" si="34"/>
        <v>84.885320656505797</v>
      </c>
      <c r="AG42">
        <f t="shared" ca="1" si="34"/>
        <v>89.901032089596455</v>
      </c>
      <c r="AH42">
        <f t="shared" ca="1" si="34"/>
        <v>94.488208902234845</v>
      </c>
      <c r="AI42">
        <f t="shared" ca="1" si="34"/>
        <v>98.616449026591582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-3.992042210135993E-9</v>
      </c>
      <c r="L43">
        <f t="shared" ca="1" si="35"/>
        <v>-1.0465150565137247E-6</v>
      </c>
      <c r="M43">
        <f t="shared" ca="1" si="35"/>
        <v>-6.6155705655688524E-5</v>
      </c>
      <c r="N43">
        <f t="shared" ca="1" si="35"/>
        <v>-6.8326407344281026E-4</v>
      </c>
      <c r="O43">
        <f t="shared" ca="1" si="35"/>
        <v>-3.51597200941452E-3</v>
      </c>
      <c r="P43">
        <f t="shared" ca="1" si="35"/>
        <v>-3.91437583623995E-2</v>
      </c>
      <c r="Q43">
        <f t="shared" ca="1" si="35"/>
        <v>-0.68146338602461998</v>
      </c>
      <c r="R43">
        <f t="shared" ca="1" si="35"/>
        <v>-1.274727065863795</v>
      </c>
      <c r="S43">
        <f t="shared" ca="1" si="35"/>
        <v>-1.3348571062214007</v>
      </c>
      <c r="T43">
        <f t="shared" ca="1" si="35"/>
        <v>-1.1939536794821775</v>
      </c>
      <c r="U43">
        <f t="shared" ca="1" si="35"/>
        <v>-1.0036941879193158</v>
      </c>
      <c r="V43">
        <f t="shared" ca="1" si="35"/>
        <v>-0.80481994424966785</v>
      </c>
      <c r="W43">
        <f t="shared" ca="1" si="35"/>
        <v>-0.54182800288812161</v>
      </c>
      <c r="X43">
        <f t="shared" ca="1" si="35"/>
        <v>0.20114210806999888</v>
      </c>
      <c r="Y43">
        <f t="shared" ca="1" si="35"/>
        <v>3.2517922095875438</v>
      </c>
      <c r="Z43">
        <f t="shared" ca="1" si="35"/>
        <v>12.710916692775516</v>
      </c>
      <c r="AA43">
        <f t="shared" ca="1" si="35"/>
        <v>30.008958946350404</v>
      </c>
      <c r="AB43">
        <f t="shared" ca="1" si="35"/>
        <v>48.506661820533914</v>
      </c>
      <c r="AC43">
        <f t="shared" ca="1" si="35"/>
        <v>62.587374814389563</v>
      </c>
      <c r="AD43">
        <f t="shared" ca="1" si="35"/>
        <v>72.271384510379775</v>
      </c>
      <c r="AE43">
        <f t="shared" ca="1" si="35"/>
        <v>79.321789891680993</v>
      </c>
      <c r="AF43">
        <f t="shared" ca="1" si="35"/>
        <v>85.013254360872679</v>
      </c>
      <c r="AG43">
        <f t="shared" ca="1" si="35"/>
        <v>89.994022474271347</v>
      </c>
      <c r="AH43">
        <f t="shared" ca="1" si="35"/>
        <v>94.555321833433268</v>
      </c>
      <c r="AI43">
        <f t="shared" ca="1" si="35"/>
        <v>98.770497227412619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0.39999999999924651</v>
      </c>
      <c r="G46" s="32" t="s">
        <v>145</v>
      </c>
      <c r="H46" s="32"/>
      <c r="I46" s="32"/>
      <c r="J46" s="8" t="s">
        <v>75</v>
      </c>
      <c r="K46">
        <f t="shared" ref="K46:AI46" ca="1" si="36">lz*qa1_</f>
        <v>7.2554663185763085E-9</v>
      </c>
      <c r="L46">
        <f t="shared" ca="1" si="36"/>
        <v>1.0508468418038008E-7</v>
      </c>
      <c r="M46">
        <f t="shared" ca="1" si="36"/>
        <v>6.94234921590089E-7</v>
      </c>
      <c r="N46">
        <f t="shared" ca="1" si="36"/>
        <v>3.2260169728834137E-6</v>
      </c>
      <c r="O46">
        <f t="shared" ca="1" si="36"/>
        <v>1.2423755460009628E-5</v>
      </c>
      <c r="P46">
        <f t="shared" ca="1" si="36"/>
        <v>5.8758754013603151E-5</v>
      </c>
      <c r="Q46">
        <f t="shared" ca="1" si="36"/>
        <v>6.5300655338839395E-4</v>
      </c>
      <c r="R46">
        <f t="shared" ca="1" si="36"/>
        <v>2.3184317507068271E-3</v>
      </c>
      <c r="S46">
        <f t="shared" ca="1" si="36"/>
        <v>6.4223524403930607E-3</v>
      </c>
      <c r="T46">
        <f t="shared" ca="1" si="36"/>
        <v>1.7015876631594255E-2</v>
      </c>
      <c r="U46">
        <f t="shared" ca="1" si="36"/>
        <v>4.3704791432926333E-2</v>
      </c>
      <c r="V46">
        <f t="shared" ca="1" si="36"/>
        <v>0.10883292786709702</v>
      </c>
      <c r="W46">
        <f t="shared" ca="1" si="36"/>
        <v>0.26013063400415687</v>
      </c>
      <c r="X46">
        <f t="shared" ca="1" si="36"/>
        <v>0.57975608436918158</v>
      </c>
      <c r="Y46">
        <f t="shared" ca="1" si="36"/>
        <v>1.1346536528801447</v>
      </c>
      <c r="Z46">
        <f t="shared" ca="1" si="36"/>
        <v>1.7907860054723921</v>
      </c>
      <c r="AA46">
        <f t="shared" ca="1" si="36"/>
        <v>2.1635974093199661</v>
      </c>
      <c r="AB46">
        <f t="shared" ca="1" si="36"/>
        <v>2.0764785591530255</v>
      </c>
      <c r="AC46">
        <f t="shared" ca="1" si="36"/>
        <v>1.7261130868505241</v>
      </c>
      <c r="AD46">
        <f t="shared" ca="1" si="36"/>
        <v>1.3334745407034829</v>
      </c>
      <c r="AE46">
        <f t="shared" ca="1" si="36"/>
        <v>0.99482200247430819</v>
      </c>
      <c r="AF46">
        <f t="shared" ca="1" si="36"/>
        <v>0.72941254540318812</v>
      </c>
      <c r="AG46">
        <f t="shared" ca="1" si="36"/>
        <v>0.52961386200606708</v>
      </c>
      <c r="AH46">
        <f t="shared" ca="1" si="36"/>
        <v>0.38207285513259603</v>
      </c>
      <c r="AI46">
        <f t="shared" ca="1" si="36"/>
        <v>0.87685307383760158</v>
      </c>
    </row>
    <row r="47" spans="1:35" ht="19" thickTop="1">
      <c r="A47" s="1" t="s">
        <v>41</v>
      </c>
      <c r="B47" s="11">
        <f ca="1">MAX(0,Ro*(reck-1/spr)/(reck-1))</f>
        <v>8771.7289435851671</v>
      </c>
      <c r="F47" t="s">
        <v>84</v>
      </c>
      <c r="G47" s="31">
        <f ca="1">G39/G53</f>
        <v>1</v>
      </c>
      <c r="H47" s="31">
        <f ca="1">H53/H39</f>
        <v>0.49377098008158371</v>
      </c>
      <c r="I47" s="31">
        <f ca="1">I53/I39</f>
        <v>0.50579745247410224</v>
      </c>
      <c r="J47" s="8" t="s">
        <v>76</v>
      </c>
      <c r="K47">
        <f t="shared" ref="K47:AI47" ca="1" si="37">lz*qa2_</f>
        <v>3.6367816802723425E-4</v>
      </c>
      <c r="L47">
        <f t="shared" ca="1" si="37"/>
        <v>2.6628733727796512E-2</v>
      </c>
      <c r="M47">
        <f t="shared" ca="1" si="37"/>
        <v>0.47225276551240419</v>
      </c>
      <c r="N47">
        <f t="shared" ca="1" si="37"/>
        <v>1.3790926662146035</v>
      </c>
      <c r="O47">
        <f t="shared" ca="1" si="37"/>
        <v>1.9905215443647215</v>
      </c>
      <c r="P47">
        <f t="shared" ca="1" si="37"/>
        <v>2.425520943570374</v>
      </c>
      <c r="Q47">
        <f t="shared" ca="1" si="37"/>
        <v>2.6996741221673841</v>
      </c>
      <c r="R47">
        <f t="shared" ca="1" si="37"/>
        <v>2.8032571982285894</v>
      </c>
      <c r="S47">
        <f t="shared" ca="1" si="37"/>
        <v>2.7673937964832169</v>
      </c>
      <c r="T47">
        <f t="shared" ca="1" si="37"/>
        <v>2.6357756300164148</v>
      </c>
      <c r="U47">
        <f t="shared" ca="1" si="37"/>
        <v>2.4418699046885703</v>
      </c>
      <c r="V47">
        <f t="shared" ca="1" si="37"/>
        <v>2.2102900682619722</v>
      </c>
      <c r="W47">
        <f t="shared" ca="1" si="37"/>
        <v>1.9573826356342823</v>
      </c>
      <c r="X47">
        <f t="shared" ca="1" si="37"/>
        <v>1.6911188205687957</v>
      </c>
      <c r="Y47">
        <f t="shared" ca="1" si="37"/>
        <v>1.4131577862818523</v>
      </c>
      <c r="Z47">
        <f t="shared" ca="1" si="37"/>
        <v>1.2279978767500923</v>
      </c>
      <c r="AA47">
        <f t="shared" ca="1" si="37"/>
        <v>1.0099752052350768</v>
      </c>
      <c r="AB47">
        <f t="shared" ca="1" si="37"/>
        <v>0.79150019421921769</v>
      </c>
      <c r="AC47">
        <f t="shared" ca="1" si="37"/>
        <v>0.60014030117215611</v>
      </c>
      <c r="AD47">
        <f t="shared" ca="1" si="37"/>
        <v>0.44616084565930436</v>
      </c>
      <c r="AE47">
        <f t="shared" ca="1" si="37"/>
        <v>0.32775800252332327</v>
      </c>
      <c r="AF47">
        <f t="shared" ca="1" si="37"/>
        <v>0.23885541083633832</v>
      </c>
      <c r="AG47">
        <f t="shared" ca="1" si="37"/>
        <v>0.17301521380141452</v>
      </c>
      <c r="AH47">
        <f t="shared" ca="1" si="37"/>
        <v>0.12470026190959684</v>
      </c>
      <c r="AI47">
        <f t="shared" ca="1" si="37"/>
        <v>0.28608326966699499</v>
      </c>
    </row>
    <row r="48" spans="1:35">
      <c r="A48" s="1" t="s">
        <v>43</v>
      </c>
      <c r="B48" s="1">
        <f ca="1">f1_*re*phi_q1</f>
        <v>26259.004469257499</v>
      </c>
      <c r="C48" s="20">
        <f ca="1">ye_1/SUM(ye_1,ye_2,ye_3)</f>
        <v>0.60367371601208464</v>
      </c>
      <c r="F48" t="s">
        <v>85</v>
      </c>
      <c r="G48" s="31">
        <f ca="1">G40/G54</f>
        <v>2.0252304010146043</v>
      </c>
      <c r="H48" s="31">
        <f t="shared" ref="H48:I49" ca="1" si="38">H40/H54</f>
        <v>1</v>
      </c>
      <c r="I48" s="31">
        <f ca="1">I54/I40</f>
        <v>0.65455912277159889</v>
      </c>
      <c r="J48" s="8" t="s">
        <v>77</v>
      </c>
      <c r="K48">
        <f t="shared" ref="K48:AI48" ca="1" si="39">lz*qa3_</f>
        <v>1.4668579634196584E-6</v>
      </c>
      <c r="L48">
        <f t="shared" ca="1" si="39"/>
        <v>2.9763442075406724E-5</v>
      </c>
      <c r="M48">
        <f t="shared" ca="1" si="39"/>
        <v>2.7483522987021506E-4</v>
      </c>
      <c r="N48">
        <f t="shared" ca="1" si="39"/>
        <v>1.7697024371094449E-3</v>
      </c>
      <c r="O48">
        <f t="shared" ca="1" si="39"/>
        <v>9.426240984106134E-3</v>
      </c>
      <c r="P48">
        <f t="shared" ca="1" si="39"/>
        <v>0.11399135664994731</v>
      </c>
      <c r="Q48">
        <f t="shared" ca="1" si="39"/>
        <v>2.1651590783133203</v>
      </c>
      <c r="R48">
        <f t="shared" ca="1" si="39"/>
        <v>4.4188617371166812</v>
      </c>
      <c r="S48">
        <f t="shared" ca="1" si="39"/>
        <v>5.0428184988257927</v>
      </c>
      <c r="T48">
        <f t="shared" ca="1" si="39"/>
        <v>4.9147603821225383</v>
      </c>
      <c r="U48">
        <f t="shared" ca="1" si="39"/>
        <v>4.5094612436614367</v>
      </c>
      <c r="V48">
        <f t="shared" ca="1" si="39"/>
        <v>4.008776063271295</v>
      </c>
      <c r="W48">
        <f t="shared" ca="1" si="39"/>
        <v>3.4791858318675133</v>
      </c>
      <c r="X48">
        <f t="shared" ca="1" si="39"/>
        <v>2.9443136833637098</v>
      </c>
      <c r="Y48">
        <f t="shared" ca="1" si="39"/>
        <v>2.4096316374445883</v>
      </c>
      <c r="Z48">
        <f t="shared" ca="1" si="39"/>
        <v>2.0939080994750494</v>
      </c>
      <c r="AA48">
        <f t="shared" ca="1" si="39"/>
        <v>1.7221489568919517</v>
      </c>
      <c r="AB48">
        <f t="shared" ca="1" si="39"/>
        <v>1.3496185122060884</v>
      </c>
      <c r="AC48">
        <f t="shared" ca="1" si="39"/>
        <v>1.0233231353554773</v>
      </c>
      <c r="AD48">
        <f t="shared" ca="1" si="39"/>
        <v>0.760766631671283</v>
      </c>
      <c r="AE48">
        <f t="shared" ca="1" si="39"/>
        <v>0.55887322701863051</v>
      </c>
      <c r="AF48">
        <f t="shared" ca="1" si="39"/>
        <v>0.4072818763150291</v>
      </c>
      <c r="AG48">
        <f t="shared" ca="1" si="39"/>
        <v>0.29501513347072</v>
      </c>
      <c r="AH48">
        <f t="shared" ca="1" si="39"/>
        <v>0.21263138427421169</v>
      </c>
      <c r="AI48">
        <f t="shared" ca="1" si="39"/>
        <v>0.48781197982635721</v>
      </c>
    </row>
    <row r="49" spans="1:47">
      <c r="A49" s="1" t="s">
        <v>44</v>
      </c>
      <c r="B49" s="1">
        <f ca="1">f2_*re*phi_q2</f>
        <v>9793.1147307976771</v>
      </c>
      <c r="C49" s="20">
        <f ca="1">ye_2/SUM(ye_1,ye_2,ye_3)</f>
        <v>0.22513595166163144</v>
      </c>
      <c r="F49" t="s">
        <v>86</v>
      </c>
      <c r="G49" s="31">
        <f ca="1">G41/G55</f>
        <v>1.9770759917997056</v>
      </c>
      <c r="H49" s="31">
        <f t="shared" ca="1" si="38"/>
        <v>1.5277458753698234</v>
      </c>
      <c r="I49" s="31">
        <f t="shared" ca="1" si="38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7446.5519740461568</v>
      </c>
      <c r="C50" s="20">
        <f ca="1">ye_3/SUM(ye_1,ye_2,ye_3)</f>
        <v>0.171190332326284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43498.671174101328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1149.2775391716432</v>
      </c>
      <c r="H52" s="57">
        <f ca="1">H40^0.5</f>
        <v>554.55090404120517</v>
      </c>
      <c r="I52" s="11">
        <f ca="1">I41^0.5</f>
        <v>567.84991454617045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2.9935950641134337</v>
      </c>
      <c r="C53">
        <f ca="1">AVERAGE(B53:B55)/B53</f>
        <v>0.55217466736063858</v>
      </c>
      <c r="G53">
        <f ca="1">G$52*$J53</f>
        <v>1320838.8620444278</v>
      </c>
      <c r="H53">
        <f t="shared" ref="G53:I55" ca="1" si="40">H$52*$J53</f>
        <v>637332.89834188635</v>
      </c>
      <c r="I53">
        <f t="shared" ca="1" si="40"/>
        <v>652617.15240845061</v>
      </c>
      <c r="J53">
        <f t="array" aca="1" ref="J53:J55" ca="1">TRANSPOSE(G52:I52)</f>
        <v>1149.2775391716432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1.1164406462832459</v>
      </c>
      <c r="C54">
        <f ca="1">AVERAGE(B53:B55)/B54</f>
        <v>1.4805868670602973</v>
      </c>
      <c r="G54">
        <f t="shared" ca="1" si="40"/>
        <v>637332.89834188635</v>
      </c>
      <c r="H54">
        <f t="shared" ca="1" si="40"/>
        <v>307526.70517291792</v>
      </c>
      <c r="I54">
        <f ca="1">I$52*$J54</f>
        <v>314901.68347129994</v>
      </c>
      <c r="J54">
        <f ca="1"/>
        <v>554.55090404120517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0.84892636582117353</v>
      </c>
      <c r="C55">
        <f ca="1">AVERAGE(B53:B55)/B55</f>
        <v>1.9471504541390185</v>
      </c>
      <c r="G55">
        <f t="shared" ca="1" si="40"/>
        <v>652617.15240845061</v>
      </c>
      <c r="H55">
        <f t="shared" ca="1" si="40"/>
        <v>314901.68347129994</v>
      </c>
      <c r="I55">
        <f t="shared" ca="1" si="40"/>
        <v>322453.52545009309</v>
      </c>
      <c r="J55">
        <f ca="1"/>
        <v>567.84991454617045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3.9072639006944181E-2</v>
      </c>
      <c r="C56">
        <f ca="1">AVERAGE(B56:B58)/B56</f>
        <v>1.2806406936500432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8.368292687612823E-2</v>
      </c>
      <c r="C57">
        <f ca="1">AVERAGE(B56:B58)/B57</f>
        <v>0.59794767449589292</v>
      </c>
      <c r="G57">
        <f t="array" aca="1" ref="G57:I59" ca="1">MMULT($G$52:$I$52,TRANSPOSE($G$52:$I$52))</f>
        <v>1950819.092667439</v>
      </c>
      <c r="H57">
        <f ca="1"/>
        <v>1950819.092667439</v>
      </c>
      <c r="I57">
        <f ca="1"/>
        <v>1950819.092667439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2.7358468678699784E-2</v>
      </c>
      <c r="C58">
        <f ca="1">AVERAGE(B56:B58)/B58</f>
        <v>1.8289770567293606</v>
      </c>
      <c r="G58">
        <f ca="1"/>
        <v>1950819.092667439</v>
      </c>
      <c r="H58">
        <f ca="1"/>
        <v>1950819.092667439</v>
      </c>
      <c r="I58">
        <f ca="1"/>
        <v>1950819.092667439</v>
      </c>
      <c r="AL58" s="31"/>
      <c r="AM58" s="31"/>
      <c r="AN58" s="31"/>
      <c r="AO58" s="31"/>
      <c r="AP58" s="31"/>
    </row>
    <row r="59" spans="1:47">
      <c r="G59">
        <f ca="1"/>
        <v>1950819.092667439</v>
      </c>
      <c r="H59">
        <f ca="1"/>
        <v>1950819.092667439</v>
      </c>
      <c r="I59">
        <f ca="1"/>
        <v>1950819.092667439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76.616147263086006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13.341319286499846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31.029747161328288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'Status Quo'!K46:AI46</xm:f>
              <xm:sqref>J46</xm:sqref>
            </x14:sparkline>
            <x14:sparkline>
              <xm:f>'Status Quo'!K47:AI47</xm:f>
              <xm:sqref>J47</xm:sqref>
            </x14:sparkline>
            <x14:sparkline>
              <xm:f>'Status Quo'!K48:AI48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Quo'!K18:AI18</xm:f>
              <xm:sqref>J18</xm:sqref>
            </x14:sparkline>
            <x14:sparkline>
              <xm:f>'Status Quo'!K19:AI19</xm:f>
              <xm:sqref>J19</xm:sqref>
            </x14:sparkline>
            <x14:sparkline>
              <xm:f>'Status Quo'!K20:AI20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'Status Quo'!K6:AI6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7" sqref="G47:I4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0.60367371601208464</v>
      </c>
      <c r="E4" s="47">
        <v>24977</v>
      </c>
      <c r="F4" s="47">
        <f ca="1">ye_1</f>
        <v>22522.392375219097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0.22513595166163144</v>
      </c>
      <c r="E5" s="47">
        <v>9315</v>
      </c>
      <c r="F5" s="47">
        <f ca="1">ye_2</f>
        <v>8399.571004330619</v>
      </c>
      <c r="J5" t="s">
        <v>3</v>
      </c>
      <c r="K5" s="9">
        <f>0.00000692*len^3.24</f>
        <v>7.0158553546955618E-2</v>
      </c>
      <c r="L5" s="9">
        <f>0.00000692*len^3.24</f>
        <v>0.46238682351281868</v>
      </c>
      <c r="M5" s="9">
        <f>0.00000692*len^3.24</f>
        <v>1.4016693105158124</v>
      </c>
      <c r="N5" s="9">
        <f>0.00000692*len^3.24</f>
        <v>3.0263235000724551</v>
      </c>
      <c r="O5" s="9">
        <f>0.00000692*len^3.24</f>
        <v>5.3989138613447478</v>
      </c>
      <c r="P5" s="9">
        <f>0.00000692*len^3.24</f>
        <v>8.5235871881960321</v>
      </c>
      <c r="Q5" s="9">
        <f>0.00000692*len^3.24</f>
        <v>12.362641181768007</v>
      </c>
      <c r="R5" s="9">
        <f>0.00000692*len^3.24</f>
        <v>16.850499568231225</v>
      </c>
      <c r="S5" s="9">
        <f>0.00000692*len^3.24</f>
        <v>21.904807515591521</v>
      </c>
      <c r="T5" s="9">
        <f>0.00000692*len^3.24</f>
        <v>27.434883404502997</v>
      </c>
      <c r="U5" s="9">
        <f>0.00000692*len^3.24</f>
        <v>33.347926709886231</v>
      </c>
      <c r="V5" s="9">
        <f>0.00000692*len^3.24</f>
        <v>39.553403570181338</v>
      </c>
      <c r="W5" s="9">
        <f>0.00000692*len^3.24</f>
        <v>45.965996898027832</v>
      </c>
      <c r="X5" s="9">
        <f>0.00000692*len^3.24</f>
        <v>52.507453509450855</v>
      </c>
      <c r="Y5" s="9">
        <f>0.00000692*len^3.24</f>
        <v>59.107603219100518</v>
      </c>
      <c r="Z5" s="9">
        <f>0.00000692*len^3.24</f>
        <v>65.704771366005971</v>
      </c>
      <c r="AA5" s="9">
        <f>0.00000692*len^3.24</f>
        <v>72.245759564237062</v>
      </c>
      <c r="AB5" s="9">
        <f>0.00000692*len^3.24</f>
        <v>78.685530247837576</v>
      </c>
      <c r="AC5" s="9">
        <f>0.00000692*len^3.24</f>
        <v>84.986698433372865</v>
      </c>
      <c r="AD5" s="9">
        <f>0.00000692*len^3.24</f>
        <v>91.118908268394236</v>
      </c>
      <c r="AE5" s="9">
        <f>0.00000692*len^3.24</f>
        <v>97.058151452529373</v>
      </c>
      <c r="AF5" s="9">
        <f>0.00000692*len^3.24</f>
        <v>102.78606860782043</v>
      </c>
      <c r="AG5" s="9">
        <f>0.00000692*len^3.24</f>
        <v>108.28926231630099</v>
      </c>
      <c r="AH5" s="9">
        <f>0.00000692*len^3.24</f>
        <v>113.55864112278009</v>
      </c>
      <c r="AI5" s="9">
        <f>0.00000692*len^3.24</f>
        <v>118.58880671719038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0.17119033232628397</v>
      </c>
      <c r="E6" s="47">
        <v>7083</v>
      </c>
      <c r="F6" s="47">
        <f ca="1">ye_3</f>
        <v>6386.9201743074354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0.40000000000000013</v>
      </c>
      <c r="J7" t="s">
        <v>7</v>
      </c>
      <c r="K7" s="1">
        <f>1</f>
        <v>1</v>
      </c>
      <c r="L7" s="1">
        <f ca="1">K7*EXP(-K8)</f>
        <v>0.86002697913876791</v>
      </c>
      <c r="M7" s="1">
        <f t="shared" ref="M7:AH7" ca="1" si="3">L7*EXP(-L8)</f>
        <v>0.73397009926510814</v>
      </c>
      <c r="N7" s="1">
        <f t="shared" ca="1" si="3"/>
        <v>0.60186659565192135</v>
      </c>
      <c r="O7" s="1">
        <f t="shared" ca="1" si="3"/>
        <v>0.48559517015230247</v>
      </c>
      <c r="P7" s="1">
        <f t="shared" ca="1" si="3"/>
        <v>0.39680256690504473</v>
      </c>
      <c r="Q7" s="1">
        <f t="shared" ca="1" si="3"/>
        <v>0.32805510377982872</v>
      </c>
      <c r="R7" s="1">
        <f t="shared" ca="1" si="3"/>
        <v>0.27140046149226293</v>
      </c>
      <c r="S7" s="1">
        <f t="shared" ca="1" si="3"/>
        <v>0.22445016007895485</v>
      </c>
      <c r="T7" s="1">
        <f t="shared" ca="1" si="3"/>
        <v>0.18642917056867461</v>
      </c>
      <c r="U7" s="1">
        <f t="shared" ca="1" si="3"/>
        <v>0.15561915352917352</v>
      </c>
      <c r="V7" s="1">
        <f t="shared" ca="1" si="3"/>
        <v>0.13041376406394165</v>
      </c>
      <c r="W7" s="1">
        <f t="shared" ca="1" si="3"/>
        <v>0.10950879383503702</v>
      </c>
      <c r="X7" s="1">
        <f t="shared" ca="1" si="3"/>
        <v>9.181607720271745E-2</v>
      </c>
      <c r="Y7" s="1">
        <f t="shared" ca="1" si="3"/>
        <v>7.6352169619238394E-2</v>
      </c>
      <c r="Z7" s="1">
        <f t="shared" ca="1" si="3"/>
        <v>6.2270829644847613E-2</v>
      </c>
      <c r="AA7" s="1">
        <f t="shared" ca="1" si="3"/>
        <v>4.9136752999157825E-2</v>
      </c>
      <c r="AB7" s="1">
        <f t="shared" ca="1" si="3"/>
        <v>3.7459497047609619E-2</v>
      </c>
      <c r="AC7" s="1">
        <f t="shared" ca="1" si="3"/>
        <v>2.7873177195617362E-2</v>
      </c>
      <c r="AD7" s="1">
        <f t="shared" ca="1" si="3"/>
        <v>2.0477691510035222E-2</v>
      </c>
      <c r="AE7" s="1">
        <f t="shared" ca="1" si="3"/>
        <v>1.4959313825226155E-2</v>
      </c>
      <c r="AF7" s="1">
        <f t="shared" ca="1" si="3"/>
        <v>1.0902490599822198E-2</v>
      </c>
      <c r="AG7" s="1">
        <f t="shared" ca="1" si="3"/>
        <v>7.9384160019633724E-3</v>
      </c>
      <c r="AH7" s="1">
        <f t="shared" ca="1" si="3"/>
        <v>5.7780626506040581E-3</v>
      </c>
      <c r="AI7" s="1">
        <f ca="1">AH7*EXP(-AH8)/(1-EXP(-AI8))</f>
        <v>1.5443530818535812E-2</v>
      </c>
    </row>
    <row r="8" spans="1:35">
      <c r="A8" s="5"/>
      <c r="B8" s="26"/>
      <c r="C8" s="26"/>
      <c r="E8" t="s">
        <v>111</v>
      </c>
      <c r="F8">
        <f ca="1">SUMXMY2(E4:E6,F4:F6)</f>
        <v>7347635.9614809901</v>
      </c>
      <c r="J8" t="s">
        <v>11</v>
      </c>
      <c r="K8" s="1">
        <f ca="1">M+f1_*flt1_ +f2_*flt2_ +f3_*flt3_</f>
        <v>0.15079151913505548</v>
      </c>
      <c r="L8" s="1">
        <f t="shared" ref="L8:AI8" ca="1" si="4">M+f1_*flt1_ +f2_*flt2_ +f3_*flt3_</f>
        <v>0.15849546875836573</v>
      </c>
      <c r="M8" s="1">
        <f t="shared" ca="1" si="4"/>
        <v>0.19843247224433291</v>
      </c>
      <c r="N8" s="1">
        <f t="shared" ca="1" si="4"/>
        <v>0.21466052529291008</v>
      </c>
      <c r="O8" s="1">
        <f t="shared" ca="1" si="4"/>
        <v>0.20193644914694941</v>
      </c>
      <c r="P8" s="1">
        <f t="shared" ca="1" si="4"/>
        <v>0.19025725080194036</v>
      </c>
      <c r="Q8" s="1">
        <f t="shared" ca="1" si="4"/>
        <v>0.18958614578961611</v>
      </c>
      <c r="R8" s="1">
        <f t="shared" ca="1" si="4"/>
        <v>0.18994176937986756</v>
      </c>
      <c r="S8" s="1">
        <f t="shared" ca="1" si="4"/>
        <v>0.18560229395845187</v>
      </c>
      <c r="T8" s="1">
        <f t="shared" ca="1" si="4"/>
        <v>0.18063968564538418</v>
      </c>
      <c r="U8" s="1">
        <f t="shared" ca="1" si="4"/>
        <v>0.17669950226940906</v>
      </c>
      <c r="V8" s="1">
        <f t="shared" ca="1" si="4"/>
        <v>0.17470734153212156</v>
      </c>
      <c r="W8" s="1">
        <f t="shared" ca="1" si="4"/>
        <v>0.17621743980806326</v>
      </c>
      <c r="X8" s="1">
        <f t="shared" ca="1" si="4"/>
        <v>0.18443096720385302</v>
      </c>
      <c r="Y8" s="1">
        <f t="shared" ca="1" si="4"/>
        <v>0.20386335587273025</v>
      </c>
      <c r="Z8" s="1">
        <f t="shared" ca="1" si="4"/>
        <v>0.23688580376641813</v>
      </c>
      <c r="AA8" s="1">
        <f t="shared" ca="1" si="4"/>
        <v>0.27134701783608134</v>
      </c>
      <c r="AB8" s="1">
        <f t="shared" ca="1" si="4"/>
        <v>0.29559543498393531</v>
      </c>
      <c r="AC8" s="1">
        <f t="shared" ca="1" si="4"/>
        <v>0.3083287609751964</v>
      </c>
      <c r="AD8" s="1">
        <f t="shared" ca="1" si="4"/>
        <v>0.3140019703847774</v>
      </c>
      <c r="AE8" s="1">
        <f t="shared" ca="1" si="4"/>
        <v>0.3163428456661449</v>
      </c>
      <c r="AF8" s="1">
        <f t="shared" ca="1" si="4"/>
        <v>0.31727749914784364</v>
      </c>
      <c r="AG8" s="1">
        <f t="shared" ca="1" si="4"/>
        <v>0.31764531444068761</v>
      </c>
      <c r="AH8" s="1">
        <f t="shared" ca="1" si="4"/>
        <v>0.31778877847933346</v>
      </c>
      <c r="AI8" s="1">
        <f t="shared" ca="1" si="4"/>
        <v>0.31784408296185307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0.86002697913876791</v>
      </c>
      <c r="L10" s="1">
        <f t="shared" ca="1" si="5"/>
        <v>0.85342683086536042</v>
      </c>
      <c r="M10" s="1">
        <f t="shared" ca="1" si="5"/>
        <v>0.82001514265300968</v>
      </c>
      <c r="N10" s="1">
        <f t="shared" ca="1" si="5"/>
        <v>0.80681528707590489</v>
      </c>
      <c r="O10" s="1">
        <f t="shared" ca="1" si="5"/>
        <v>0.81714685667197073</v>
      </c>
      <c r="P10" s="1">
        <f t="shared" ca="1" si="5"/>
        <v>0.82674642540387766</v>
      </c>
      <c r="Q10" s="1">
        <f t="shared" ca="1" si="5"/>
        <v>0.82730144529137073</v>
      </c>
      <c r="R10" s="1">
        <f t="shared" ca="1" si="5"/>
        <v>0.82700728968861192</v>
      </c>
      <c r="S10" s="1">
        <f t="shared" ca="1" si="5"/>
        <v>0.83060386547772747</v>
      </c>
      <c r="T10" s="1">
        <f t="shared" ca="1" si="5"/>
        <v>0.83473607190591637</v>
      </c>
      <c r="U10" s="1">
        <f t="shared" ca="1" si="5"/>
        <v>0.83803157327605771</v>
      </c>
      <c r="V10" s="1">
        <f t="shared" ca="1" si="5"/>
        <v>0.83970273092758096</v>
      </c>
      <c r="W10" s="1">
        <f t="shared" ca="1" si="5"/>
        <v>0.83843565422726052</v>
      </c>
      <c r="X10" s="1">
        <f t="shared" ca="1" si="5"/>
        <v>0.83157734402726824</v>
      </c>
      <c r="Y10" s="1">
        <f t="shared" ca="1" si="5"/>
        <v>0.81557380694467241</v>
      </c>
      <c r="Z10" s="1">
        <f t="shared" ca="1" si="5"/>
        <v>0.78908139299575686</v>
      </c>
      <c r="AA10" s="1">
        <f t="shared" ca="1" si="5"/>
        <v>0.76235190079107695</v>
      </c>
      <c r="AB10" s="1">
        <f t="shared" ca="1" si="5"/>
        <v>0.74408839927005954</v>
      </c>
      <c r="AC10" s="1">
        <f t="shared" ca="1" si="5"/>
        <v>0.7346737462442936</v>
      </c>
      <c r="AD10" s="1">
        <f t="shared" ca="1" si="5"/>
        <v>0.73051758875727024</v>
      </c>
      <c r="AE10" s="1">
        <f t="shared" ca="1" si="5"/>
        <v>0.72880953813784799</v>
      </c>
      <c r="AF10" s="1">
        <f t="shared" ca="1" si="5"/>
        <v>0.72812867200205011</v>
      </c>
      <c r="AG10" s="1">
        <f t="shared" ca="1" si="5"/>
        <v>0.72786090438885998</v>
      </c>
      <c r="AH10" s="1">
        <f t="shared" ca="1" si="5"/>
        <v>0.72775649001397691</v>
      </c>
      <c r="AI10" s="1">
        <f t="shared" ca="1" si="5"/>
        <v>0.72771624293082871</v>
      </c>
    </row>
    <row r="11" spans="1:35">
      <c r="A11" s="5">
        <v>1</v>
      </c>
      <c r="B11" s="25">
        <f>'Status Quo'!B11</f>
        <v>0.26028638242243257</v>
      </c>
      <c r="C11" s="18">
        <f ca="1">mpr1_/SUM(mpr1_,mpr2_,mpr3_)</f>
        <v>0.16836195861141987</v>
      </c>
      <c r="J11" t="s">
        <v>56</v>
      </c>
      <c r="K11" s="1">
        <f ca="1">1-sa</f>
        <v>0.13997302086123209</v>
      </c>
      <c r="L11" s="1">
        <f t="shared" ref="L11:AI11" ca="1" si="6">1-sa</f>
        <v>0.14657316913463958</v>
      </c>
      <c r="M11" s="1">
        <f t="shared" ca="1" si="6"/>
        <v>0.17998485734699032</v>
      </c>
      <c r="N11" s="1">
        <f t="shared" ca="1" si="6"/>
        <v>0.19318471292409511</v>
      </c>
      <c r="O11" s="1">
        <f t="shared" ca="1" si="6"/>
        <v>0.18285314332802927</v>
      </c>
      <c r="P11" s="1">
        <f t="shared" ca="1" si="6"/>
        <v>0.17325357459612234</v>
      </c>
      <c r="Q11" s="1">
        <f t="shared" ca="1" si="6"/>
        <v>0.17269855470862927</v>
      </c>
      <c r="R11" s="1">
        <f t="shared" ca="1" si="6"/>
        <v>0.17299271031138808</v>
      </c>
      <c r="S11" s="1">
        <f t="shared" ca="1" si="6"/>
        <v>0.16939613452227253</v>
      </c>
      <c r="T11" s="1">
        <f t="shared" ca="1" si="6"/>
        <v>0.16526392809408363</v>
      </c>
      <c r="U11" s="1">
        <f t="shared" ca="1" si="6"/>
        <v>0.16196842672394229</v>
      </c>
      <c r="V11" s="1">
        <f t="shared" ca="1" si="6"/>
        <v>0.16029726907241904</v>
      </c>
      <c r="W11" s="1">
        <f t="shared" ca="1" si="6"/>
        <v>0.16156434577273948</v>
      </c>
      <c r="X11" s="1">
        <f t="shared" ca="1" si="6"/>
        <v>0.16842265597273176</v>
      </c>
      <c r="Y11" s="1">
        <f t="shared" ca="1" si="6"/>
        <v>0.18442619305532759</v>
      </c>
      <c r="Z11" s="1">
        <f t="shared" ca="1" si="6"/>
        <v>0.21091860700424314</v>
      </c>
      <c r="AA11" s="1">
        <f t="shared" ca="1" si="6"/>
        <v>0.23764809920892305</v>
      </c>
      <c r="AB11" s="1">
        <f t="shared" ca="1" si="6"/>
        <v>0.25591160072994046</v>
      </c>
      <c r="AC11" s="1">
        <f t="shared" ca="1" si="6"/>
        <v>0.2653262537557064</v>
      </c>
      <c r="AD11" s="1">
        <f t="shared" ca="1" si="6"/>
        <v>0.26948241124272976</v>
      </c>
      <c r="AE11" s="1">
        <f t="shared" ca="1" si="6"/>
        <v>0.27119046186215201</v>
      </c>
      <c r="AF11" s="1">
        <f t="shared" ca="1" si="6"/>
        <v>0.27187132799794989</v>
      </c>
      <c r="AG11" s="1">
        <f t="shared" ca="1" si="6"/>
        <v>0.27213909561114002</v>
      </c>
      <c r="AH11" s="1">
        <f t="shared" ca="1" si="6"/>
        <v>0.27224350998602309</v>
      </c>
      <c r="AI11" s="1">
        <f t="shared" ca="1" si="6"/>
        <v>0.27228375706917129</v>
      </c>
    </row>
    <row r="12" spans="1:35">
      <c r="A12" s="5">
        <v>2</v>
      </c>
      <c r="B12" s="25">
        <f>'Status Quo'!B12</f>
        <v>0.55746237931999676</v>
      </c>
      <c r="C12" s="18">
        <f ca="1">mpr2_/SUM(mpr1_,mpr2_,mpr3_)</f>
        <v>0.71390168223338546</v>
      </c>
      <c r="J12" t="s">
        <v>100</v>
      </c>
      <c r="K12">
        <f>1/(1+EXP(($E18-len)/2.5))</f>
        <v>5.6126934388498569E-12</v>
      </c>
      <c r="L12">
        <f t="shared" ref="L12:AI12" si="7">1/(1+EXP(($E18-len)/2.5))</f>
        <v>1.2978976454834829E-9</v>
      </c>
      <c r="M12">
        <f t="shared" si="7"/>
        <v>1.99637952261423E-7</v>
      </c>
      <c r="N12">
        <f t="shared" si="7"/>
        <v>2.1058746277498515E-5</v>
      </c>
      <c r="O12">
        <f t="shared" si="7"/>
        <v>1.564676467664138E-3</v>
      </c>
      <c r="P12">
        <f t="shared" si="7"/>
        <v>7.7870643543285392E-2</v>
      </c>
      <c r="Q12">
        <f t="shared" si="7"/>
        <v>0.77146898694811417</v>
      </c>
      <c r="R12">
        <f>1/(1+EXP(($E18-len)/2.5))</f>
        <v>0.99032644321048724</v>
      </c>
      <c r="S12">
        <f t="shared" si="7"/>
        <v>0.99958428557508638</v>
      </c>
      <c r="T12">
        <f t="shared" si="7"/>
        <v>0.99997757111253649</v>
      </c>
      <c r="U12">
        <f t="shared" si="7"/>
        <v>0.99999849463304669</v>
      </c>
      <c r="V12">
        <f t="shared" si="7"/>
        <v>0.99999987630899723</v>
      </c>
      <c r="W12">
        <f t="shared" si="7"/>
        <v>0.99999998774476839</v>
      </c>
      <c r="X12">
        <f t="shared" si="7"/>
        <v>0.9999999985562078</v>
      </c>
      <c r="Y12">
        <f t="shared" si="7"/>
        <v>0.99999999980035637</v>
      </c>
      <c r="Z12">
        <f t="shared" si="7"/>
        <v>0.99999999996798428</v>
      </c>
      <c r="AA12">
        <f t="shared" si="7"/>
        <v>0.99999999999411138</v>
      </c>
      <c r="AB12">
        <f t="shared" si="7"/>
        <v>0.99999999999877054</v>
      </c>
      <c r="AC12">
        <f t="shared" si="7"/>
        <v>0.99999999999971134</v>
      </c>
      <c r="AD12">
        <f t="shared" si="7"/>
        <v>0.9999999999999245</v>
      </c>
      <c r="AE12">
        <f t="shared" si="7"/>
        <v>0.99999999999997824</v>
      </c>
      <c r="AF12">
        <f t="shared" si="7"/>
        <v>0.99999999999999312</v>
      </c>
      <c r="AG12">
        <f t="shared" si="7"/>
        <v>0.99999999999999756</v>
      </c>
      <c r="AH12">
        <f t="shared" si="7"/>
        <v>0.99999999999999911</v>
      </c>
      <c r="AI12">
        <f t="shared" si="7"/>
        <v>0.99999999999999956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0.11773635915519472</v>
      </c>
      <c r="J13" t="s">
        <v>101</v>
      </c>
      <c r="K13">
        <f>1/(1+EXP(($E19-len)/2.5))</f>
        <v>1.780212213170972E-32</v>
      </c>
      <c r="L13">
        <f t="shared" ref="L13:Q14" si="8">1/(1+EXP(($E19-len)/2.5))</f>
        <v>4.1166211340324113E-30</v>
      </c>
      <c r="M13">
        <f t="shared" si="8"/>
        <v>6.3320399670713315E-28</v>
      </c>
      <c r="N13">
        <f t="shared" si="8"/>
        <v>6.6794716679723202E-26</v>
      </c>
      <c r="O13">
        <f t="shared" si="8"/>
        <v>4.9705571051631045E-24</v>
      </c>
      <c r="P13">
        <f t="shared" si="8"/>
        <v>2.6784427606745092E-22</v>
      </c>
      <c r="Q13">
        <f t="shared" si="8"/>
        <v>1.0707147400765349E-20</v>
      </c>
      <c r="R13">
        <f>1/(1+EXP(($E19-len)/2.5))</f>
        <v>3.2470774237305647E-19</v>
      </c>
      <c r="S13">
        <f t="shared" ref="S13:AI13" si="9">1/(1+EXP(($E19-len)/2.5))</f>
        <v>7.6264913102733784E-18</v>
      </c>
      <c r="T13">
        <f t="shared" si="9"/>
        <v>1.4141093097190688E-16</v>
      </c>
      <c r="U13">
        <f t="shared" si="9"/>
        <v>2.1069654906178927E-15</v>
      </c>
      <c r="V13">
        <f t="shared" si="9"/>
        <v>2.5642613710579942E-14</v>
      </c>
      <c r="W13">
        <f t="shared" si="9"/>
        <v>2.5880873253271309E-13</v>
      </c>
      <c r="X13">
        <f t="shared" si="9"/>
        <v>2.1968263846960051E-12</v>
      </c>
      <c r="Y13">
        <f t="shared" si="9"/>
        <v>1.5887117618179969E-11</v>
      </c>
      <c r="Z13">
        <f t="shared" si="9"/>
        <v>9.9068954677535708E-11</v>
      </c>
      <c r="AA13">
        <f t="shared" si="9"/>
        <v>5.3863356368460146E-10</v>
      </c>
      <c r="AB13">
        <f t="shared" si="9"/>
        <v>2.5797156485912094E-9</v>
      </c>
      <c r="AC13">
        <f t="shared" si="9"/>
        <v>1.0987480026385197E-8</v>
      </c>
      <c r="AD13">
        <f t="shared" si="9"/>
        <v>4.198444838888185E-8</v>
      </c>
      <c r="AE13">
        <f t="shared" si="9"/>
        <v>1.4510196922743085E-7</v>
      </c>
      <c r="AF13">
        <f t="shared" si="9"/>
        <v>4.5700253478658503E-7</v>
      </c>
      <c r="AG13">
        <f t="shared" si="9"/>
        <v>1.3208259556624439E-6</v>
      </c>
      <c r="AH13">
        <f t="shared" si="9"/>
        <v>3.5257296435145709E-6</v>
      </c>
      <c r="AI13">
        <f t="shared" si="9"/>
        <v>8.7440746529709757E-6</v>
      </c>
    </row>
    <row r="14" spans="1:35">
      <c r="A14" s="27" t="s">
        <v>49</v>
      </c>
      <c r="B14" s="30">
        <v>0.4</v>
      </c>
      <c r="C14" s="29">
        <f ca="1">spr</f>
        <v>0.40000000000000013</v>
      </c>
      <c r="J14" t="s">
        <v>102</v>
      </c>
      <c r="K14">
        <f>1/(1+EXP(($E20-len)/2.5))</f>
        <v>5.6126934388498569E-12</v>
      </c>
      <c r="L14">
        <f t="shared" si="8"/>
        <v>1.2978976454834829E-9</v>
      </c>
      <c r="M14">
        <f t="shared" si="8"/>
        <v>1.99637952261423E-7</v>
      </c>
      <c r="N14">
        <f t="shared" si="8"/>
        <v>2.1058746277498515E-5</v>
      </c>
      <c r="O14">
        <f t="shared" si="8"/>
        <v>1.564676467664138E-3</v>
      </c>
      <c r="P14">
        <f t="shared" si="8"/>
        <v>7.7870643543285392E-2</v>
      </c>
      <c r="Q14">
        <f t="shared" si="8"/>
        <v>0.77146898694811417</v>
      </c>
      <c r="R14">
        <f>1/(1+EXP(($E20-len)/2.5))</f>
        <v>0.99032644321048724</v>
      </c>
      <c r="S14">
        <f t="shared" ref="S14:AI14" si="10">1/(1+EXP(($E20-len)/2.5))</f>
        <v>0.99958428557508638</v>
      </c>
      <c r="T14">
        <f t="shared" si="10"/>
        <v>0.99997757111253649</v>
      </c>
      <c r="U14">
        <f t="shared" si="10"/>
        <v>0.99999849463304669</v>
      </c>
      <c r="V14">
        <f t="shared" si="10"/>
        <v>0.99999987630899723</v>
      </c>
      <c r="W14">
        <f t="shared" si="10"/>
        <v>0.99999998774476839</v>
      </c>
      <c r="X14">
        <f t="shared" si="10"/>
        <v>0.9999999985562078</v>
      </c>
      <c r="Y14">
        <f t="shared" si="10"/>
        <v>0.99999999980035637</v>
      </c>
      <c r="Z14">
        <f t="shared" si="10"/>
        <v>0.99999999996798428</v>
      </c>
      <c r="AA14">
        <f t="shared" si="10"/>
        <v>0.99999999999411138</v>
      </c>
      <c r="AB14">
        <f t="shared" si="10"/>
        <v>0.99999999999877054</v>
      </c>
      <c r="AC14">
        <f t="shared" si="10"/>
        <v>0.99999999999971134</v>
      </c>
      <c r="AD14">
        <f t="shared" si="10"/>
        <v>0.9999999999999245</v>
      </c>
      <c r="AE14">
        <f t="shared" si="10"/>
        <v>0.99999999999997824</v>
      </c>
      <c r="AF14">
        <f t="shared" si="10"/>
        <v>0.99999999999999312</v>
      </c>
      <c r="AG14">
        <f t="shared" si="10"/>
        <v>0.99999999999999756</v>
      </c>
      <c r="AH14">
        <f t="shared" si="10"/>
        <v>0.99999999999999911</v>
      </c>
      <c r="AI14">
        <f t="shared" si="10"/>
        <v>0.99999999999999956</v>
      </c>
    </row>
    <row r="15" spans="1:35">
      <c r="A15" s="5"/>
      <c r="B15" s="26" t="s">
        <v>50</v>
      </c>
      <c r="C15" s="26">
        <f ca="1">CHOOSE(C25,SUMXMY2(B14,C14),SUMXMY2(B7,C7))</f>
        <v>1.2325951644078309E-32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1">((EXP(g*(ah-age)/gh)/(1+EXP((ah-age)/gh))) *(1/(1-g))*((1-g)/g)^g) *(sr+(1-sr)*dmr)</f>
        <v>2.8474655284082498E-7</v>
      </c>
      <c r="M18" s="4">
        <f t="shared" si="11"/>
        <v>7.2799064193298868E-7</v>
      </c>
      <c r="N18" s="4">
        <f t="shared" si="11"/>
        <v>1.8613941753055458E-6</v>
      </c>
      <c r="O18" s="4">
        <f t="shared" si="11"/>
        <v>4.7973732538525313E-6</v>
      </c>
      <c r="P18" s="4">
        <f t="shared" ref="P18:AI18" si="12">((EXP(g*(ah-age)/gh)/(1+EXP((ah-age)/gh))) *(1/(1-g))*((1-g)/g)^g) *(sr_1+(1-sr_1)*dmr)</f>
        <v>1.7137769583510798E-5</v>
      </c>
      <c r="Q18" s="4">
        <f t="shared" si="12"/>
        <v>1.5704525993082906E-4</v>
      </c>
      <c r="R18" s="4">
        <f t="shared" si="12"/>
        <v>4.9270679394694951E-4</v>
      </c>
      <c r="S18" s="4">
        <f t="shared" si="12"/>
        <v>1.268564977270979E-3</v>
      </c>
      <c r="T18" s="4">
        <f t="shared" si="12"/>
        <v>3.2379295167042068E-3</v>
      </c>
      <c r="U18" s="4">
        <f t="shared" si="12"/>
        <v>8.236827271567819E-3</v>
      </c>
      <c r="V18" s="4">
        <f t="shared" si="12"/>
        <v>2.079200621233079E-2</v>
      </c>
      <c r="W18" s="4">
        <f t="shared" si="12"/>
        <v>5.1491204378878774E-2</v>
      </c>
      <c r="X18" s="4">
        <f t="shared" si="12"/>
        <v>0.1218766197503028</v>
      </c>
      <c r="Y18" s="4">
        <f t="shared" si="12"/>
        <v>0.26191103363059803</v>
      </c>
      <c r="Z18" s="4">
        <f t="shared" si="12"/>
        <v>0.47569349278639222</v>
      </c>
      <c r="AA18" s="4">
        <f t="shared" si="12"/>
        <v>0.69879031204778541</v>
      </c>
      <c r="AB18" s="4">
        <f t="shared" si="12"/>
        <v>0.85577098971264853</v>
      </c>
      <c r="AC18" s="4">
        <f t="shared" si="12"/>
        <v>0.93820466490256382</v>
      </c>
      <c r="AD18" s="4">
        <f t="shared" si="12"/>
        <v>0.97493218621747679</v>
      </c>
      <c r="AE18" s="4">
        <f t="shared" si="12"/>
        <v>0.99008666767320841</v>
      </c>
      <c r="AF18" s="4">
        <f t="shared" si="12"/>
        <v>0.99613747651752416</v>
      </c>
      <c r="AG18" s="4">
        <f t="shared" si="12"/>
        <v>0.9985186584962934</v>
      </c>
      <c r="AH18" s="4">
        <f t="shared" si="12"/>
        <v>0.99944742353154647</v>
      </c>
      <c r="AI18" s="4">
        <f t="shared" si="12"/>
        <v>0.99980545659782449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v>0.1</v>
      </c>
      <c r="J19" s="8" t="s">
        <v>104</v>
      </c>
      <c r="K19" s="4">
        <f t="shared" si="11"/>
        <v>9.6213510225466176E-3</v>
      </c>
      <c r="L19" s="4">
        <f t="shared" si="11"/>
        <v>0.10330388675722919</v>
      </c>
      <c r="M19" s="4">
        <f t="shared" si="11"/>
        <v>0.58897214032810585</v>
      </c>
      <c r="N19" s="4">
        <f t="shared" si="11"/>
        <v>0.78617614100554356</v>
      </c>
      <c r="O19" s="4">
        <f t="shared" si="11"/>
        <v>0.63084986166996349</v>
      </c>
      <c r="P19" s="4">
        <f t="shared" ref="P19:Y19" si="13">((EXP(g*(ah-age)/gh)/(1+EXP((ah-age)/gh))) *(1/(1-g))*((1-g)/g)^g) *(sr_2+(1-sr_2)*dmr)</f>
        <v>0.48233532705520743</v>
      </c>
      <c r="Q19" s="4">
        <f t="shared" si="13"/>
        <v>0.36773482838724292</v>
      </c>
      <c r="R19" s="4">
        <f t="shared" si="13"/>
        <v>0.28030259284732501</v>
      </c>
      <c r="S19" s="4">
        <f t="shared" si="13"/>
        <v>0.21365511084308417</v>
      </c>
      <c r="T19" s="4">
        <f t="shared" si="13"/>
        <v>0.16285423164763396</v>
      </c>
      <c r="U19" s="4">
        <f t="shared" si="13"/>
        <v>0.12413229436421871</v>
      </c>
      <c r="V19" s="4">
        <f t="shared" si="13"/>
        <v>9.4617292314831319E-2</v>
      </c>
      <c r="W19" s="4">
        <f t="shared" si="13"/>
        <v>7.2120088075360356E-2</v>
      </c>
      <c r="X19" s="4">
        <f t="shared" si="13"/>
        <v>5.4972056129009919E-2</v>
      </c>
      <c r="Y19" s="115">
        <f t="shared" si="13"/>
        <v>4.1901320917669717E-2</v>
      </c>
      <c r="Z19" s="4">
        <f>Y19</f>
        <v>4.1901320917669717E-2</v>
      </c>
      <c r="AA19" s="4">
        <f t="shared" ref="AA19:AI20" si="14">Z19</f>
        <v>4.1901320917669717E-2</v>
      </c>
      <c r="AB19" s="4">
        <f t="shared" si="14"/>
        <v>4.1901320917669717E-2</v>
      </c>
      <c r="AC19" s="4">
        <f t="shared" si="14"/>
        <v>4.1901320917669717E-2</v>
      </c>
      <c r="AD19" s="4">
        <f t="shared" si="14"/>
        <v>4.1901320917669717E-2</v>
      </c>
      <c r="AE19" s="4">
        <f t="shared" si="14"/>
        <v>4.1901320917669717E-2</v>
      </c>
      <c r="AF19" s="4">
        <f t="shared" si="14"/>
        <v>4.1901320917669717E-2</v>
      </c>
      <c r="AG19" s="4">
        <f t="shared" si="14"/>
        <v>4.1901320917669717E-2</v>
      </c>
      <c r="AH19" s="4">
        <f t="shared" si="14"/>
        <v>4.1901320917669717E-2</v>
      </c>
      <c r="AI19" s="4">
        <f t="shared" si="14"/>
        <v>4.1901320917669717E-2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1"/>
        <v>2.2517159451801021E-5</v>
      </c>
      <c r="L20" s="4">
        <f t="shared" si="11"/>
        <v>8.0649597967121964E-5</v>
      </c>
      <c r="M20" s="4">
        <f t="shared" si="11"/>
        <v>2.8819851781693308E-4</v>
      </c>
      <c r="N20" s="4">
        <f t="shared" si="11"/>
        <v>1.0211086414450173E-3</v>
      </c>
      <c r="O20" s="4">
        <f t="shared" si="11"/>
        <v>3.6398974953330489E-3</v>
      </c>
      <c r="P20" s="4">
        <f t="shared" ref="P20:Y20" si="15">((EXP(g*(ah-age)/gh)/(1+EXP((ah-age)/gh))) *(1/(1-g))*((1-g)/g)^g) *(sr_3+(1-sr_3)*dmr)</f>
        <v>3.3247090371016599E-2</v>
      </c>
      <c r="Q20" s="4">
        <f t="shared" si="15"/>
        <v>0.52071142085930722</v>
      </c>
      <c r="R20" s="4">
        <f t="shared" si="15"/>
        <v>0.9390844473751867</v>
      </c>
      <c r="S20" s="4">
        <f t="shared" si="15"/>
        <v>0.99607472397654595</v>
      </c>
      <c r="T20" s="4">
        <f t="shared" si="15"/>
        <v>0.93522350057800274</v>
      </c>
      <c r="U20" s="4">
        <f t="shared" si="15"/>
        <v>0.8498760006410957</v>
      </c>
      <c r="V20" s="4">
        <f t="shared" si="15"/>
        <v>0.76585734156821039</v>
      </c>
      <c r="W20" s="4">
        <f t="shared" si="15"/>
        <v>0.6886827052361959</v>
      </c>
      <c r="X20" s="4">
        <f t="shared" si="15"/>
        <v>0.61895512421121124</v>
      </c>
      <c r="Y20" s="4">
        <f t="shared" si="15"/>
        <v>0.5562130005311563</v>
      </c>
      <c r="Z20" s="4">
        <f>Y20</f>
        <v>0.5562130005311563</v>
      </c>
      <c r="AA20" s="4">
        <f t="shared" si="14"/>
        <v>0.5562130005311563</v>
      </c>
      <c r="AB20" s="4">
        <f t="shared" si="14"/>
        <v>0.5562130005311563</v>
      </c>
      <c r="AC20" s="4">
        <f t="shared" si="14"/>
        <v>0.5562130005311563</v>
      </c>
      <c r="AD20" s="4">
        <f t="shared" si="14"/>
        <v>0.5562130005311563</v>
      </c>
      <c r="AE20" s="4">
        <f t="shared" si="14"/>
        <v>0.5562130005311563</v>
      </c>
      <c r="AF20" s="4">
        <f t="shared" si="14"/>
        <v>0.5562130005311563</v>
      </c>
      <c r="AG20" s="4">
        <f t="shared" si="14"/>
        <v>0.5562130005311563</v>
      </c>
      <c r="AH20" s="4">
        <f t="shared" si="14"/>
        <v>0.5562130005311563</v>
      </c>
      <c r="AI20" s="4">
        <f t="shared" si="14"/>
        <v>0.5562130005311563</v>
      </c>
    </row>
    <row r="21" spans="1:39">
      <c r="A21" t="s">
        <v>42</v>
      </c>
      <c r="B21" s="1">
        <f>Bo/phie</f>
        <v>10156.738776787859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6">wa*flt1_*(1-EXP(-za))/za</f>
        <v>7.2533547116052135E-9</v>
      </c>
      <c r="L22" s="1">
        <f t="shared" ca="1" si="16"/>
        <v>1.217591344711304E-7</v>
      </c>
      <c r="M22" s="1">
        <f t="shared" ca="1" si="16"/>
        <v>9.2553870711008674E-7</v>
      </c>
      <c r="N22" s="1">
        <f t="shared" ca="1" si="16"/>
        <v>5.0696067216517485E-6</v>
      </c>
      <c r="O22" s="1">
        <f t="shared" ca="1" si="16"/>
        <v>2.3452957852451027E-5</v>
      </c>
      <c r="P22" s="1">
        <f t="shared" ca="1" si="16"/>
        <v>1.330202299522333E-4</v>
      </c>
      <c r="Q22" s="1">
        <f t="shared" ca="1" si="16"/>
        <v>1.7685535013258875E-3</v>
      </c>
      <c r="R22" s="1">
        <f t="shared" ca="1" si="16"/>
        <v>7.561512168342114E-3</v>
      </c>
      <c r="S22" s="1">
        <f t="shared" ca="1" si="16"/>
        <v>2.5361346911062625E-2</v>
      </c>
      <c r="T22" s="1">
        <f t="shared" ca="1" si="16"/>
        <v>8.1270964138355106E-2</v>
      </c>
      <c r="U22" s="1">
        <f t="shared" ca="1" si="16"/>
        <v>0.25178151052067743</v>
      </c>
      <c r="V22" s="1">
        <f t="shared" ca="1" si="16"/>
        <v>0.7545625121853442</v>
      </c>
      <c r="W22" s="1">
        <f t="shared" ca="1" si="16"/>
        <v>2.170033171458015</v>
      </c>
      <c r="X22" s="1">
        <f t="shared" ca="1" si="16"/>
        <v>5.8439706351036476</v>
      </c>
      <c r="Y22" s="1">
        <f t="shared" ca="1" si="16"/>
        <v>14.004918195040519</v>
      </c>
      <c r="Z22" s="1">
        <f t="shared" ca="1" si="16"/>
        <v>27.829152363085484</v>
      </c>
      <c r="AA22" s="1">
        <f t="shared" ca="1" si="16"/>
        <v>44.214887958198254</v>
      </c>
      <c r="AB22" s="1">
        <f t="shared" ca="1" si="16"/>
        <v>58.29679597769136</v>
      </c>
      <c r="AC22" s="1">
        <f t="shared" ca="1" si="16"/>
        <v>68.614315233786698</v>
      </c>
      <c r="AD22" s="1">
        <f t="shared" ca="1" si="16"/>
        <v>76.239662889106896</v>
      </c>
      <c r="AE22" s="1">
        <f t="shared" ca="1" si="16"/>
        <v>82.379968533428723</v>
      </c>
      <c r="AF22" s="1">
        <f t="shared" ca="1" si="16"/>
        <v>87.735967508564343</v>
      </c>
      <c r="AG22" s="1">
        <f t="shared" ca="1" si="16"/>
        <v>92.638190527610419</v>
      </c>
      <c r="AH22" s="1">
        <f t="shared" ca="1" si="16"/>
        <v>97.229738449576942</v>
      </c>
      <c r="AI22" s="1">
        <f t="shared" ca="1" si="16"/>
        <v>101.57031639471296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7">wa*flt2_*(1-EXP(-za))/za</f>
        <v>6.2659093169905862E-4</v>
      </c>
      <c r="L23" s="1">
        <f t="shared" ca="1" si="17"/>
        <v>4.4173289241170123E-2</v>
      </c>
      <c r="M23" s="1">
        <f t="shared" ca="1" si="17"/>
        <v>0.74879604473447825</v>
      </c>
      <c r="N23" s="1">
        <f t="shared" ca="1" si="17"/>
        <v>2.1411928229493382</v>
      </c>
      <c r="O23" s="1">
        <f t="shared" ca="1" si="17"/>
        <v>3.0840408769713403</v>
      </c>
      <c r="P23" s="1">
        <f t="shared" ca="1" si="17"/>
        <v>3.7437985034354528</v>
      </c>
      <c r="Q23" s="1">
        <f t="shared" ca="1" si="17"/>
        <v>4.1412183888274292</v>
      </c>
      <c r="R23" s="1">
        <f t="shared" ca="1" si="17"/>
        <v>4.3017703280566177</v>
      </c>
      <c r="S23" s="1">
        <f t="shared" ca="1" si="17"/>
        <v>4.2714259675289208</v>
      </c>
      <c r="T23" s="1">
        <f t="shared" ca="1" si="17"/>
        <v>4.0875875622784026</v>
      </c>
      <c r="U23" s="1">
        <f t="shared" ca="1" si="17"/>
        <v>3.7944484628571504</v>
      </c>
      <c r="V23" s="1">
        <f t="shared" ca="1" si="17"/>
        <v>3.4337553123138869</v>
      </c>
      <c r="W23" s="1">
        <f t="shared" ca="1" si="17"/>
        <v>3.0394119799652959</v>
      </c>
      <c r="X23" s="1">
        <f t="shared" ca="1" si="17"/>
        <v>2.6359041006173403</v>
      </c>
      <c r="Y23" s="1">
        <f t="shared" ca="1" si="17"/>
        <v>2.2405492566753327</v>
      </c>
      <c r="Z23" s="1">
        <f t="shared" ca="1" si="17"/>
        <v>2.4513226725091926</v>
      </c>
      <c r="AA23" s="1">
        <f t="shared" ca="1" si="17"/>
        <v>2.6512419787934678</v>
      </c>
      <c r="AB23" s="1">
        <f t="shared" ca="1" si="17"/>
        <v>2.8544000510620005</v>
      </c>
      <c r="AC23" s="1">
        <f t="shared" ca="1" si="17"/>
        <v>3.0643958079825087</v>
      </c>
      <c r="AD23" s="1">
        <f t="shared" ca="1" si="17"/>
        <v>3.2766818313441339</v>
      </c>
      <c r="AE23" s="1">
        <f t="shared" ca="1" si="17"/>
        <v>3.4863912538271378</v>
      </c>
      <c r="AF23" s="1">
        <f t="shared" ca="1" si="17"/>
        <v>3.6905076028769654</v>
      </c>
      <c r="AG23" s="1">
        <f t="shared" ca="1" si="17"/>
        <v>3.8874211488197687</v>
      </c>
      <c r="AH23" s="1">
        <f t="shared" ca="1" si="17"/>
        <v>4.0763069448127114</v>
      </c>
      <c r="AI23" s="1">
        <f t="shared" ca="1" si="17"/>
        <v>4.2567585472541394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8">wa*flt3_*(1-EXP(-za))/za</f>
        <v>1.4664310539192683E-6</v>
      </c>
      <c r="L24" s="1">
        <f t="shared" ca="1" si="18"/>
        <v>3.4486195340916899E-5</v>
      </c>
      <c r="M24" s="1">
        <f t="shared" ca="1" si="18"/>
        <v>3.6640427528446273E-4</v>
      </c>
      <c r="N24" s="1">
        <f t="shared" ca="1" si="18"/>
        <v>2.7810440694844276E-3</v>
      </c>
      <c r="O24" s="1">
        <f t="shared" ca="1" si="18"/>
        <v>1.7794396647526765E-2</v>
      </c>
      <c r="P24" s="1">
        <f t="shared" ca="1" si="18"/>
        <v>0.25805782863660842</v>
      </c>
      <c r="Q24" s="1">
        <f t="shared" ca="1" si="18"/>
        <v>5.8639528945141084</v>
      </c>
      <c r="R24" s="1">
        <f t="shared" ca="1" si="18"/>
        <v>14.412016564750006</v>
      </c>
      <c r="S24" s="1">
        <f t="shared" ca="1" si="18"/>
        <v>19.913679690617805</v>
      </c>
      <c r="T24" s="1">
        <f t="shared" ca="1" si="18"/>
        <v>23.473801756557872</v>
      </c>
      <c r="U24" s="1">
        <f t="shared" ca="1" si="18"/>
        <v>25.978821230757362</v>
      </c>
      <c r="V24" s="1">
        <f t="shared" ca="1" si="18"/>
        <v>27.793721958710243</v>
      </c>
      <c r="W24" s="1">
        <f t="shared" ca="1" si="18"/>
        <v>29.023681481123084</v>
      </c>
      <c r="X24" s="1">
        <f t="shared" ca="1" si="18"/>
        <v>29.678830753166363</v>
      </c>
      <c r="Y24" s="1">
        <f t="shared" ca="1" si="18"/>
        <v>29.741845784334423</v>
      </c>
      <c r="Z24" s="1">
        <f t="shared" ca="1" si="18"/>
        <v>32.539726888930204</v>
      </c>
      <c r="AA24" s="1">
        <f t="shared" ca="1" si="18"/>
        <v>35.193526692305667</v>
      </c>
      <c r="AB24" s="1">
        <f t="shared" ca="1" si="18"/>
        <v>37.890319024476625</v>
      </c>
      <c r="AC24" s="1">
        <f t="shared" ca="1" si="18"/>
        <v>40.677877208741684</v>
      </c>
      <c r="AD24" s="1">
        <f t="shared" ca="1" si="18"/>
        <v>43.495837202337121</v>
      </c>
      <c r="AE24" s="1">
        <f t="shared" ca="1" si="18"/>
        <v>46.279594481686736</v>
      </c>
      <c r="AF24" s="1">
        <f t="shared" ca="1" si="18"/>
        <v>48.989107319851065</v>
      </c>
      <c r="AG24" s="1">
        <f t="shared" ca="1" si="18"/>
        <v>51.603007594004218</v>
      </c>
      <c r="AH24" s="1">
        <f t="shared" ca="1" si="18"/>
        <v>54.110344667061661</v>
      </c>
      <c r="AI24" s="1">
        <f t="shared" ca="1" si="18"/>
        <v>56.505723262448051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F26" t="s">
        <v>143</v>
      </c>
      <c r="J26" s="8" t="s">
        <v>30</v>
      </c>
      <c r="K26">
        <f ca="1">qa1_/wa</f>
        <v>1.0338518035082776E-7</v>
      </c>
      <c r="L26">
        <f t="shared" ref="L26:AI26" ca="1" si="19">qa1_/wa</f>
        <v>2.6332743123194749E-7</v>
      </c>
      <c r="M26">
        <f t="shared" ca="1" si="19"/>
        <v>6.603117441227915E-7</v>
      </c>
      <c r="N26">
        <f t="shared" ca="1" si="19"/>
        <v>1.675170126898322E-6</v>
      </c>
      <c r="O26">
        <f t="shared" ca="1" si="19"/>
        <v>4.344014084086428E-6</v>
      </c>
      <c r="P26">
        <f t="shared" ca="1" si="19"/>
        <v>1.5606132373051525E-5</v>
      </c>
      <c r="Q26">
        <f t="shared" ca="1" si="19"/>
        <v>1.4305628346910924E-4</v>
      </c>
      <c r="R26">
        <f t="shared" ca="1" si="19"/>
        <v>4.4874112709382635E-4</v>
      </c>
      <c r="S26">
        <f t="shared" ca="1" si="19"/>
        <v>1.1577982090466116E-3</v>
      </c>
      <c r="T26">
        <f t="shared" ca="1" si="19"/>
        <v>2.9623221990808888E-3</v>
      </c>
      <c r="U26">
        <f t="shared" ca="1" si="19"/>
        <v>7.5501398546025649E-3</v>
      </c>
      <c r="V26">
        <f t="shared" ca="1" si="19"/>
        <v>1.9077056437039379E-2</v>
      </c>
      <c r="W26">
        <f t="shared" ca="1" si="19"/>
        <v>4.7209531347097142E-2</v>
      </c>
      <c r="X26">
        <f t="shared" ca="1" si="19"/>
        <v>0.11129792523744818</v>
      </c>
      <c r="Y26">
        <f t="shared" ca="1" si="19"/>
        <v>0.23693936874968488</v>
      </c>
      <c r="Z26">
        <f t="shared" ca="1" si="19"/>
        <v>0.42354842402638054</v>
      </c>
      <c r="AA26">
        <f t="shared" ca="1" si="19"/>
        <v>0.61200668696527083</v>
      </c>
      <c r="AB26">
        <f t="shared" ca="1" si="19"/>
        <v>0.74088330845674721</v>
      </c>
      <c r="AC26">
        <f t="shared" ca="1" si="19"/>
        <v>0.80735358001438728</v>
      </c>
      <c r="AD26">
        <f t="shared" ca="1" si="19"/>
        <v>0.83670518378622416</v>
      </c>
      <c r="AE26">
        <f t="shared" ca="1" si="19"/>
        <v>0.84876918940415147</v>
      </c>
      <c r="AF26">
        <f t="shared" ca="1" si="19"/>
        <v>0.85357839536912683</v>
      </c>
      <c r="AG26">
        <f t="shared" ca="1" si="19"/>
        <v>0.85546977185073514</v>
      </c>
      <c r="AH26">
        <f t="shared" ca="1" si="19"/>
        <v>0.85620730829679204</v>
      </c>
      <c r="AI26">
        <f t="shared" ca="1" si="19"/>
        <v>0.85649159652088436</v>
      </c>
      <c r="AM26" s="44"/>
    </row>
    <row r="27" spans="1:39">
      <c r="A27" t="s">
        <v>14</v>
      </c>
      <c r="B27" s="28">
        <f ca="1">fbar*C27</f>
        <v>0.1544675275234941</v>
      </c>
      <c r="C27" s="36">
        <f ca="1">CHOOSE(C$25,E36,E39,1)</f>
        <v>1.8201201661060913</v>
      </c>
      <c r="E27" s="42">
        <f ca="1">f1_/(F4/(f1_*365*re*phib))</f>
        <v>249.1016861519347</v>
      </c>
      <c r="F27" s="109">
        <f ca="1">F4/E27</f>
        <v>90.414451717047001</v>
      </c>
      <c r="J27" s="8" t="s">
        <v>31</v>
      </c>
      <c r="K27">
        <f t="shared" ref="K27:AI27" ca="1" si="20">qa2_/wa</f>
        <v>8.9310696988599506E-3</v>
      </c>
      <c r="L27">
        <f t="shared" ca="1" si="20"/>
        <v>9.5533192113000417E-2</v>
      </c>
      <c r="M27">
        <f t="shared" ca="1" si="20"/>
        <v>0.53421733579864306</v>
      </c>
      <c r="N27">
        <f t="shared" ca="1" si="20"/>
        <v>0.70752278231262278</v>
      </c>
      <c r="O27">
        <f t="shared" ca="1" si="20"/>
        <v>0.5712335770075011</v>
      </c>
      <c r="P27">
        <f t="shared" ca="1" si="20"/>
        <v>0.43922804105530666</v>
      </c>
      <c r="Q27">
        <f t="shared" ca="1" si="20"/>
        <v>0.33497845063518905</v>
      </c>
      <c r="R27">
        <f t="shared" ca="1" si="20"/>
        <v>0.2552903734775247</v>
      </c>
      <c r="S27">
        <f t="shared" ca="1" si="20"/>
        <v>0.19499947509187571</v>
      </c>
      <c r="T27">
        <f t="shared" ca="1" si="20"/>
        <v>0.14899234314250778</v>
      </c>
      <c r="U27">
        <f t="shared" ca="1" si="20"/>
        <v>0.11378363926091571</v>
      </c>
      <c r="V27">
        <f t="shared" ca="1" si="20"/>
        <v>8.6813143810019394E-2</v>
      </c>
      <c r="W27">
        <f t="shared" ca="1" si="20"/>
        <v>6.6123051496261617E-2</v>
      </c>
      <c r="X27">
        <f t="shared" ca="1" si="20"/>
        <v>5.020057009892704E-2</v>
      </c>
      <c r="Y27">
        <f t="shared" ca="1" si="20"/>
        <v>3.7906278289952772E-2</v>
      </c>
      <c r="Z27">
        <f t="shared" ca="1" si="20"/>
        <v>3.7308137925846988E-2</v>
      </c>
      <c r="AA27">
        <f t="shared" ca="1" si="20"/>
        <v>3.6697544531124011E-2</v>
      </c>
      <c r="AB27">
        <f t="shared" ca="1" si="20"/>
        <v>3.6276047731665949E-2</v>
      </c>
      <c r="AC27">
        <f t="shared" ca="1" si="20"/>
        <v>3.6057357968610898E-2</v>
      </c>
      <c r="AD27">
        <f t="shared" ca="1" si="20"/>
        <v>3.5960503627771111E-2</v>
      </c>
      <c r="AE27">
        <f t="shared" ca="1" si="20"/>
        <v>3.5920643466327638E-2</v>
      </c>
      <c r="AF27">
        <f t="shared" ca="1" si="20"/>
        <v>3.5904745194196237E-2</v>
      </c>
      <c r="AG27">
        <f t="shared" ca="1" si="20"/>
        <v>3.5898491370871477E-2</v>
      </c>
      <c r="AH27">
        <f t="shared" ca="1" si="20"/>
        <v>3.5896052510925973E-2</v>
      </c>
      <c r="AI27">
        <f t="shared" ca="1" si="20"/>
        <v>3.5895112406397867E-2</v>
      </c>
    </row>
    <row r="28" spans="1:39">
      <c r="A28" t="s">
        <v>15</v>
      </c>
      <c r="B28" s="28">
        <f ca="1">fbar*C28</f>
        <v>8.2223241246012685E-2</v>
      </c>
      <c r="C28" s="36">
        <f ca="1">CHOOSE(C$25,E37,E40,1)</f>
        <v>0.96885204232787048</v>
      </c>
      <c r="E28" s="42">
        <f ca="1">f2_/(F5/(f2_*365*re*phib))</f>
        <v>189.25566018924292</v>
      </c>
      <c r="F28" s="109">
        <f t="shared" ref="F28:F29" ca="1" si="21">F5/E28</f>
        <v>44.382138932762238</v>
      </c>
      <c r="J28" s="8" t="s">
        <v>32</v>
      </c>
      <c r="K28">
        <f t="shared" ref="K28:AI28" ca="1" si="22">qa3_/wa</f>
        <v>2.0901671710461039E-5</v>
      </c>
      <c r="L28">
        <f t="shared" ca="1" si="22"/>
        <v>7.4582997583971686E-5</v>
      </c>
      <c r="M28">
        <f t="shared" ca="1" si="22"/>
        <v>2.6140564863307627E-4</v>
      </c>
      <c r="N28">
        <f t="shared" ca="1" si="22"/>
        <v>9.1895135117506276E-4</v>
      </c>
      <c r="O28">
        <f t="shared" ca="1" si="22"/>
        <v>3.2959215695089051E-3</v>
      </c>
      <c r="P28">
        <f t="shared" ca="1" si="22"/>
        <v>3.0275730503934093E-2</v>
      </c>
      <c r="Q28">
        <f t="shared" ca="1" si="22"/>
        <v>0.47432848760199092</v>
      </c>
      <c r="R28">
        <f t="shared" ca="1" si="22"/>
        <v>0.85528719824553057</v>
      </c>
      <c r="S28">
        <f t="shared" ca="1" si="22"/>
        <v>0.90910087552440433</v>
      </c>
      <c r="T28">
        <f t="shared" ca="1" si="22"/>
        <v>0.85561879051780565</v>
      </c>
      <c r="U28">
        <f t="shared" ca="1" si="22"/>
        <v>0.77902357938959232</v>
      </c>
      <c r="V28">
        <f t="shared" ca="1" si="22"/>
        <v>0.70268850338997058</v>
      </c>
      <c r="W28">
        <f t="shared" ca="1" si="22"/>
        <v>0.63141633902795535</v>
      </c>
      <c r="X28">
        <f t="shared" ca="1" si="22"/>
        <v>0.56523081523701102</v>
      </c>
      <c r="Y28">
        <f t="shared" ca="1" si="22"/>
        <v>0.50318138724196138</v>
      </c>
      <c r="Z28">
        <f t="shared" ca="1" si="22"/>
        <v>0.49524145982745871</v>
      </c>
      <c r="AA28">
        <f t="shared" ca="1" si="22"/>
        <v>0.48713622646618404</v>
      </c>
      <c r="AB28">
        <f t="shared" ca="1" si="22"/>
        <v>0.48154112840229507</v>
      </c>
      <c r="AC28">
        <f t="shared" ca="1" si="22"/>
        <v>0.47863816289594979</v>
      </c>
      <c r="AD28">
        <f t="shared" ca="1" si="22"/>
        <v>0.47735248401153429</v>
      </c>
      <c r="AE28">
        <f t="shared" ca="1" si="22"/>
        <v>0.47682336608607101</v>
      </c>
      <c r="AF28">
        <f t="shared" ca="1" si="22"/>
        <v>0.47661232678106102</v>
      </c>
      <c r="AG28">
        <f t="shared" ca="1" si="22"/>
        <v>0.47652931131137938</v>
      </c>
      <c r="AH28">
        <f t="shared" ca="1" si="22"/>
        <v>0.47649693701915052</v>
      </c>
      <c r="AI28">
        <f t="shared" ca="1" si="22"/>
        <v>0.47648445773809361</v>
      </c>
    </row>
    <row r="29" spans="1:39">
      <c r="A29" t="s">
        <v>19</v>
      </c>
      <c r="B29" s="28">
        <f ca="1">fbar*C29</f>
        <v>1.7909224791287353E-2</v>
      </c>
      <c r="C29" s="36">
        <f ca="1">CHOOSE(C$25,E38,E41,1)</f>
        <v>0.21102779156603871</v>
      </c>
      <c r="E29" s="42">
        <f ca="1">f3_/(F6/(f3_*365*re*phib))</f>
        <v>11.808069057199956</v>
      </c>
      <c r="F29" s="109">
        <f t="shared" ca="1" si="21"/>
        <v>540.89454790349635</v>
      </c>
    </row>
    <row r="30" spans="1:39">
      <c r="A30" t="s">
        <v>95</v>
      </c>
      <c r="B30" s="28">
        <v>8.4866664520264701E-2</v>
      </c>
      <c r="C30" s="36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0.25459999356079416</v>
      </c>
      <c r="G31">
        <f ca="1">SUMPRODUCT(dlz1_,wa,ma)</f>
        <v>-65.241151621977721</v>
      </c>
      <c r="H31">
        <f ca="1">Ro/(reck-1)*phie/phif^2*dphif</f>
        <v>-3823.996767317723</v>
      </c>
      <c r="J31" s="8" t="s">
        <v>52</v>
      </c>
      <c r="K31">
        <v>0</v>
      </c>
      <c r="L31">
        <f t="shared" ref="L31:AH31" ca="1" si="23">K31*sa-K$7*K18*K$10</f>
        <v>-9.578620034565111E-8</v>
      </c>
      <c r="M31">
        <f t="shared" ca="1" si="23"/>
        <v>-2.8754159039460654E-7</v>
      </c>
      <c r="N31">
        <f t="shared" ca="1" si="23"/>
        <v>-6.7014620012715143E-7</v>
      </c>
      <c r="O31">
        <f t="shared" ca="1" si="23"/>
        <v>-1.4514918822225685E-6</v>
      </c>
      <c r="P31">
        <f t="shared" ca="1" si="23"/>
        <v>-3.1036257466605462E-6</v>
      </c>
      <c r="Q31">
        <f t="shared" ca="1" si="23"/>
        <v>-8.1897668451292062E-6</v>
      </c>
      <c r="R31">
        <f t="shared" ca="1" si="23"/>
        <v>-4.9395152902171343E-5</v>
      </c>
      <c r="S31">
        <f t="shared" ca="1" si="23"/>
        <v>-1.5161592370978836E-4</v>
      </c>
      <c r="T31">
        <f t="shared" ca="1" si="23"/>
        <v>-3.63056797120994E-4</v>
      </c>
      <c r="U31">
        <f t="shared" ca="1" si="23"/>
        <v>-8.081369094565077E-4</v>
      </c>
      <c r="V31">
        <f t="shared" ca="1" si="23"/>
        <v>-1.7527904182636906E-3</v>
      </c>
      <c r="W31">
        <f t="shared" ca="1" si="23"/>
        <v>-3.7465095027831327E-3</v>
      </c>
      <c r="X31">
        <f t="shared" ca="1" si="23"/>
        <v>-7.8432328182093548E-3</v>
      </c>
      <c r="Y31">
        <f t="shared" ca="1" si="23"/>
        <v>-1.5702279592094935E-2</v>
      </c>
      <c r="Z31">
        <f t="shared" ca="1" si="23"/>
        <v>-2.8699794011056042E-2</v>
      </c>
      <c r="AA31">
        <f t="shared" ca="1" si="23"/>
        <v>-4.525337617499256E-2</v>
      </c>
      <c r="AB31">
        <f t="shared" ca="1" si="23"/>
        <v>-5.9848845870668285E-2</v>
      </c>
      <c r="AC31">
        <f t="shared" ca="1" si="23"/>
        <v>-6.7822432239330682E-2</v>
      </c>
      <c r="AD31">
        <f t="shared" ca="1" si="23"/>
        <v>-6.8757745364279865E-2</v>
      </c>
      <c r="AE31">
        <f t="shared" ca="1" si="23"/>
        <v>-6.4695617174281628E-2</v>
      </c>
      <c r="AF31">
        <f t="shared" ca="1" si="23"/>
        <v>-5.7901144404779142E-2</v>
      </c>
      <c r="AG31">
        <f t="shared" ca="1" si="23"/>
        <v>-5.0051733015354649E-2</v>
      </c>
      <c r="AH31">
        <f t="shared" ca="1" si="23"/>
        <v>-4.219497690495988E-2</v>
      </c>
      <c r="AI31">
        <f ca="1">(AH31*sa-AH$7*AH18*AH$10)/oa-AH$7*AH$10*flt1_*sa/oa^2</f>
        <v>-0.16947390253794517</v>
      </c>
    </row>
    <row r="32" spans="1:39">
      <c r="A32" s="12" t="s">
        <v>22</v>
      </c>
      <c r="B32" s="12"/>
      <c r="C32" s="12"/>
      <c r="G32">
        <f ca="1">SUMPRODUCT(dlz2_,wa,ma)</f>
        <v>-149.56223669563587</v>
      </c>
      <c r="H32">
        <f ca="1">Ro/(reck-1)*phie/phif^2*dphif</f>
        <v>-8766.3306888080097</v>
      </c>
      <c r="J32" s="8" t="s">
        <v>53</v>
      </c>
      <c r="K32">
        <v>0</v>
      </c>
      <c r="L32">
        <f t="shared" ref="L32:AH32" ca="1" si="24">K32*sa-K$7*K19*K$10</f>
        <v>-8.2746214551544638E-3</v>
      </c>
      <c r="M32">
        <f t="shared" ca="1" si="24"/>
        <v>-8.2607278910623153E-2</v>
      </c>
      <c r="N32">
        <f t="shared" ca="1" si="24"/>
        <v>-0.4211314724819365</v>
      </c>
      <c r="O32">
        <f t="shared" ca="1" si="24"/>
        <v>-0.72588959594552049</v>
      </c>
      <c r="P32">
        <f t="shared" ca="1" si="24"/>
        <v>-0.850449473128158</v>
      </c>
      <c r="Q32">
        <f t="shared" ca="1" si="24"/>
        <v>-0.86181064403998353</v>
      </c>
      <c r="R32">
        <f t="shared" ca="1" si="24"/>
        <v>-0.81252708708337973</v>
      </c>
      <c r="S32">
        <f t="shared" ca="1" si="24"/>
        <v>-0.73780210117194145</v>
      </c>
      <c r="T32">
        <f t="shared" ca="1" si="24"/>
        <v>-0.65570157287843234</v>
      </c>
      <c r="U32">
        <f t="shared" ca="1" si="24"/>
        <v>-0.574841858396547</v>
      </c>
      <c r="V32">
        <f t="shared" ca="1" si="24"/>
        <v>-0.4988848380969973</v>
      </c>
      <c r="W32">
        <f t="shared" ca="1" si="24"/>
        <v>-0.42864426117125115</v>
      </c>
      <c r="X32">
        <f t="shared" ca="1" si="24"/>
        <v>-0.36307263981191384</v>
      </c>
      <c r="Y32">
        <f t="shared" ca="1" si="24"/>
        <v>-0.30030977080273491</v>
      </c>
      <c r="Z32">
        <f t="shared" ca="1" si="24"/>
        <v>-0.23957808229201685</v>
      </c>
      <c r="AA32">
        <f t="shared" ca="1" si="24"/>
        <v>-0.18470170127947008</v>
      </c>
      <c r="AB32">
        <f t="shared" ca="1" si="24"/>
        <v>-0.13900399565470398</v>
      </c>
      <c r="AC32">
        <f t="shared" ca="1" si="24"/>
        <v>-0.10329050917323553</v>
      </c>
      <c r="AD32">
        <f t="shared" ca="1" si="24"/>
        <v>-7.6313576026357743E-2</v>
      </c>
      <c r="AE32">
        <f t="shared" ca="1" si="24"/>
        <v>-5.6244877106716266E-2</v>
      </c>
      <c r="AF32">
        <f t="shared" ca="1" si="24"/>
        <v>-4.1410336432056848E-2</v>
      </c>
      <c r="AG32">
        <f t="shared" ca="1" si="24"/>
        <v>-3.0473595042960086E-2</v>
      </c>
      <c r="AH32">
        <f t="shared" ca="1" si="24"/>
        <v>-2.241946502397732E-2</v>
      </c>
      <c r="AI32">
        <f ca="1">(AH32*sa-AH$7*AH19*AH$10)/oa-AH$7*AH$10*flt2_*sa/oa^2</f>
        <v>-6.2295721857504011E-2</v>
      </c>
    </row>
    <row r="33" spans="1:35">
      <c r="A33" s="59" t="s">
        <v>130</v>
      </c>
      <c r="B33" s="60">
        <f ca="1">SUMPRODUCT(lz*wa)</f>
        <v>73.441025051199261</v>
      </c>
      <c r="C33" s="58"/>
      <c r="G33">
        <f ca="1">SUMPRODUCT(dlz3_,wa,ma)</f>
        <v>-253.56657593329709</v>
      </c>
      <c r="H33">
        <f ca="1">Ro/(reck-1)*phie/phif^2*dphif</f>
        <v>-14862.3643599527</v>
      </c>
      <c r="J33" s="8" t="s">
        <v>54</v>
      </c>
      <c r="K33">
        <v>0</v>
      </c>
      <c r="L33">
        <f t="shared" ref="L33:AH33" ca="1" si="25">K33*sa-K$7*K20*K$10</f>
        <v>-1.9365364622118389E-5</v>
      </c>
      <c r="M33">
        <f t="shared" ca="1" si="25"/>
        <v>-7.5074285658753521E-5</v>
      </c>
      <c r="N33">
        <f t="shared" ca="1" si="25"/>
        <v>-2.3402814212619282E-4</v>
      </c>
      <c r="O33">
        <f t="shared" ca="1" si="25"/>
        <v>-6.870807851976793E-4</v>
      </c>
      <c r="P33">
        <f t="shared" ca="1" si="25"/>
        <v>-2.0123622525452679E-3</v>
      </c>
      <c r="Q33">
        <f t="shared" ca="1" si="25"/>
        <v>-1.2571707882021693E-2</v>
      </c>
      <c r="R33">
        <f t="shared" ca="1" si="25"/>
        <v>-0.15171821398777563</v>
      </c>
      <c r="S33">
        <f t="shared" ca="1" si="25"/>
        <v>-0.33679538954264099</v>
      </c>
      <c r="T33">
        <f t="shared" ca="1" si="25"/>
        <v>-0.46683264511821609</v>
      </c>
      <c r="U33">
        <f t="shared" ca="1" si="25"/>
        <v>-0.53675918556558144</v>
      </c>
      <c r="V33">
        <f t="shared" ca="1" si="25"/>
        <v>-0.56155368220109714</v>
      </c>
      <c r="W33">
        <f t="shared" ca="1" si="25"/>
        <v>-0.55469474264484675</v>
      </c>
      <c r="X33">
        <f t="shared" ca="1" si="25"/>
        <v>-0.52450372526663358</v>
      </c>
      <c r="Y33">
        <f t="shared" ca="1" si="25"/>
        <v>-0.47503006660284208</v>
      </c>
      <c r="Z33">
        <f t="shared" ca="1" si="25"/>
        <v>-0.40947323167216299</v>
      </c>
      <c r="AA33">
        <f t="shared" ca="1" si="25"/>
        <v>-0.33949319731035832</v>
      </c>
      <c r="AB33">
        <f t="shared" ca="1" si="25"/>
        <v>-0.27344840900097794</v>
      </c>
      <c r="AC33">
        <f t="shared" ca="1" si="25"/>
        <v>-0.21639879056760122</v>
      </c>
      <c r="AD33">
        <f t="shared" ca="1" si="25"/>
        <v>-0.16947308093418165</v>
      </c>
      <c r="AE33">
        <f t="shared" ca="1" si="25"/>
        <v>-0.1318341626710553</v>
      </c>
      <c r="AF33">
        <f t="shared" ca="1" si="25"/>
        <v>-0.10205634079996757</v>
      </c>
      <c r="AG33">
        <f t="shared" ca="1" si="25"/>
        <v>-7.8698270697198702E-2</v>
      </c>
      <c r="AH33">
        <f t="shared" ca="1" si="25"/>
        <v>-6.0487010816912629E-2</v>
      </c>
      <c r="AI33">
        <f ca="1">(AH33*sa-AH$7*AH20*AH$10)/oa-AH$7*AH$10*flt3_*sa/oa^2</f>
        <v>-0.19320753261021306</v>
      </c>
    </row>
    <row r="34" spans="1:35">
      <c r="A34" t="s">
        <v>28</v>
      </c>
      <c r="B34" s="1">
        <f>SUMPRODUCT(lx,wa,ma)</f>
        <v>98.456800157683801</v>
      </c>
      <c r="G34" t="s">
        <v>57</v>
      </c>
      <c r="J34" s="8"/>
    </row>
    <row r="35" spans="1:35">
      <c r="A35" t="s">
        <v>27</v>
      </c>
      <c r="B35" s="1">
        <f ca="1">SUMPRODUCT(lz,wa,ma)</f>
        <v>39.382720063073535</v>
      </c>
      <c r="F35" s="37"/>
      <c r="G35" s="1">
        <f ca="1">SUM(dqa11_)</f>
        <v>691.28337121081267</v>
      </c>
      <c r="H35" s="1">
        <f ca="1">SUM(dqa12_)</f>
        <v>697.08009480967144</v>
      </c>
      <c r="I35" s="11">
        <f ca="1">SUM(dqa13_)</f>
        <v>692.96856101865569</v>
      </c>
      <c r="J35" s="8" t="s">
        <v>62</v>
      </c>
      <c r="K35">
        <f ca="1">flt1_*qa1_+lz*wa*flt1_^2/za*(sa-oa/za)</f>
        <v>4.1407166729723769E-16</v>
      </c>
      <c r="L35">
        <f t="shared" ref="L35:AI35" ca="1" si="26">flt1_*qa1_+lz*wa*flt1_^2/za*(sa-oa/za)</f>
        <v>2.0155378009390293E-14</v>
      </c>
      <c r="M35">
        <f t="shared" ca="1" si="26"/>
        <v>4.3468736081824678E-13</v>
      </c>
      <c r="N35">
        <f t="shared" ca="1" si="26"/>
        <v>6.6982881396384455E-12</v>
      </c>
      <c r="O35">
        <f t="shared" ca="1" si="26"/>
        <v>8.6113592104471858E-11</v>
      </c>
      <c r="P35">
        <f t="shared" ca="1" si="26"/>
        <v>1.8417138336191691E-9</v>
      </c>
      <c r="Q35">
        <f t="shared" ca="1" si="26"/>
        <v>2.3362409916114743E-7</v>
      </c>
      <c r="R35">
        <f t="shared" ca="1" si="26"/>
        <v>3.2360375615193462E-6</v>
      </c>
      <c r="S35">
        <f t="shared" ca="1" si="26"/>
        <v>2.8673577296901104E-5</v>
      </c>
      <c r="T35">
        <f t="shared" ca="1" si="26"/>
        <v>2.3935836324498805E-4</v>
      </c>
      <c r="U35">
        <f t="shared" ca="1" si="26"/>
        <v>1.9172628209021805E-3</v>
      </c>
      <c r="V35">
        <f t="shared" ca="1" si="26"/>
        <v>1.4695619352665975E-2</v>
      </c>
      <c r="W35">
        <f t="shared" ca="1" si="26"/>
        <v>0.10579908928549381</v>
      </c>
      <c r="X35">
        <f t="shared" ca="1" si="26"/>
        <v>0.68055019867260169</v>
      </c>
      <c r="Y35">
        <f t="shared" ca="1" si="26"/>
        <v>3.5327656846910296</v>
      </c>
      <c r="Z35">
        <f t="shared" ca="1" si="26"/>
        <v>12.842229376328165</v>
      </c>
      <c r="AA35">
        <f t="shared" ca="1" si="26"/>
        <v>30.172135116079524</v>
      </c>
      <c r="AB35">
        <f t="shared" ca="1" si="26"/>
        <v>49.00027116598249</v>
      </c>
      <c r="AC35">
        <f t="shared" ca="1" si="26"/>
        <v>63.523143277310105</v>
      </c>
      <c r="AD35">
        <f t="shared" ca="1" si="26"/>
        <v>73.607225770721698</v>
      </c>
      <c r="AE35">
        <f t="shared" ca="1" si="26"/>
        <v>80.98535442346909</v>
      </c>
      <c r="AF35">
        <f t="shared" ca="1" si="26"/>
        <v>86.945813203928665</v>
      </c>
      <c r="AG35">
        <f t="shared" ca="1" si="26"/>
        <v>92.153211105500276</v>
      </c>
      <c r="AH35">
        <f t="shared" ca="1" si="26"/>
        <v>96.910111652151713</v>
      </c>
      <c r="AI35">
        <f t="shared" ca="1" si="26"/>
        <v>100.80787676098105</v>
      </c>
    </row>
    <row r="36" spans="1:35">
      <c r="A36" t="s">
        <v>33</v>
      </c>
      <c r="B36" s="1">
        <f ca="1">SUMPRODUCT(lz,ta1_)</f>
        <v>0.20893929776120254</v>
      </c>
      <c r="C36" s="29">
        <f ca="1">B11/(phi_t1/SUM(B$36:B$38))</f>
        <v>3.9036356111105923</v>
      </c>
      <c r="E36" s="38">
        <f ca="1">C36/AVERAGE(C$36:C$38)</f>
        <v>2.1661435011666259</v>
      </c>
      <c r="G36" s="1">
        <f ca="1">SUM(dqa21_)</f>
        <v>697.08009480967144</v>
      </c>
      <c r="H36" s="1">
        <f ca="1">SUM(dqa22_)</f>
        <v>10.750183366854785</v>
      </c>
      <c r="I36" s="11">
        <f ca="1">SUM(dqa23_)</f>
        <v>694.87590682519442</v>
      </c>
      <c r="J36" s="8" t="s">
        <v>63</v>
      </c>
      <c r="K36">
        <f t="shared" ref="K36:AI36" ca="1" si="27">flt2_*qa2_+lz*wa*flt2_^2/za*(sa-oa/za)</f>
        <v>3.0900527478940984E-6</v>
      </c>
      <c r="L36">
        <f t="shared" ca="1" si="27"/>
        <v>2.6528171783746606E-3</v>
      </c>
      <c r="M36">
        <f t="shared" ca="1" si="27"/>
        <v>0.28452139129844828</v>
      </c>
      <c r="N36">
        <f t="shared" ca="1" si="27"/>
        <v>1.1948870208610529</v>
      </c>
      <c r="O36">
        <f t="shared" ca="1" si="27"/>
        <v>1.4890754748278641</v>
      </c>
      <c r="P36">
        <f t="shared" ca="1" si="27"/>
        <v>1.4588535427571956</v>
      </c>
      <c r="Q36">
        <f t="shared" ca="1" si="27"/>
        <v>1.2809657048973111</v>
      </c>
      <c r="R36">
        <f t="shared" ca="1" si="27"/>
        <v>1.0473472156030323</v>
      </c>
      <c r="S36">
        <f t="shared" ca="1" si="27"/>
        <v>0.81336038546983147</v>
      </c>
      <c r="T36">
        <f t="shared" ca="1" si="27"/>
        <v>0.60549689526736516</v>
      </c>
      <c r="U36">
        <f t="shared" ca="1" si="27"/>
        <v>0.43544298479725702</v>
      </c>
      <c r="V36">
        <f t="shared" ca="1" si="27"/>
        <v>0.30432395049660432</v>
      </c>
      <c r="W36">
        <f t="shared" ca="1" si="27"/>
        <v>0.20755267066437572</v>
      </c>
      <c r="X36">
        <f t="shared" ca="1" si="27"/>
        <v>0.13845330478446027</v>
      </c>
      <c r="Y36">
        <f t="shared" ca="1" si="27"/>
        <v>9.0419618935493509E-2</v>
      </c>
      <c r="Z36">
        <f t="shared" ca="1" si="27"/>
        <v>9.9641769107016095E-2</v>
      </c>
      <c r="AA36">
        <f t="shared" ca="1" si="27"/>
        <v>0.10848450742238844</v>
      </c>
      <c r="AB36">
        <f t="shared" ca="1" si="27"/>
        <v>0.11747319794528048</v>
      </c>
      <c r="AC36">
        <f t="shared" ca="1" si="27"/>
        <v>0.12670455620226273</v>
      </c>
      <c r="AD36">
        <f t="shared" ca="1" si="27"/>
        <v>0.13596497937667004</v>
      </c>
      <c r="AE36">
        <f t="shared" ca="1" si="27"/>
        <v>0.14504925098911997</v>
      </c>
      <c r="AF36">
        <f t="shared" ca="1" si="27"/>
        <v>0.15383867944592639</v>
      </c>
      <c r="AG36">
        <f t="shared" ca="1" si="27"/>
        <v>0.16227571522659284</v>
      </c>
      <c r="AH36">
        <f t="shared" ca="1" si="27"/>
        <v>0.17033528307614004</v>
      </c>
      <c r="AI36">
        <f t="shared" ca="1" si="27"/>
        <v>0.17705936017197238</v>
      </c>
    </row>
    <row r="37" spans="1:35">
      <c r="A37" t="s">
        <v>34</v>
      </c>
      <c r="B37" s="1">
        <f ca="1">SUMPRODUCT(lz,ta2_)</f>
        <v>1.6643979378456324</v>
      </c>
      <c r="C37" s="29">
        <f ca="1">B12/(phi_t2/SUM(B$36:B$38))</f>
        <v>1.0495336068212457</v>
      </c>
      <c r="E37" s="38">
        <f ca="1">C37/AVERAGE(C$36:C$38)</f>
        <v>0.58239052723084772</v>
      </c>
      <c r="G37" s="1">
        <f ca="1">SUM(dqa31_)</f>
        <v>692.96856101865569</v>
      </c>
      <c r="H37" s="1">
        <f ca="1">SUM(dqa32_)</f>
        <v>694.87590682519442</v>
      </c>
      <c r="I37" s="1">
        <f ca="1">SUM(dqa33_)</f>
        <v>390.87137613072116</v>
      </c>
      <c r="J37" s="8" t="s">
        <v>64</v>
      </c>
      <c r="K37">
        <f t="shared" ref="K37:AI37" ca="1" si="28">flt3_*qa3_+lz*wa*flt3_^2/za*(sa-oa/za)</f>
        <v>1.6924700035412203E-11</v>
      </c>
      <c r="L37">
        <f t="shared" ca="1" si="28"/>
        <v>1.6168823150403381E-9</v>
      </c>
      <c r="M37">
        <f t="shared" ca="1" si="28"/>
        <v>6.8125374893093477E-8</v>
      </c>
      <c r="N37">
        <f t="shared" ca="1" si="28"/>
        <v>2.0157238182736855E-6</v>
      </c>
      <c r="O37">
        <f t="shared" ca="1" si="28"/>
        <v>4.9572747923553046E-5</v>
      </c>
      <c r="P37">
        <f t="shared" ca="1" si="28"/>
        <v>6.9313980378598004E-3</v>
      </c>
      <c r="Q37">
        <f t="shared" ca="1" si="28"/>
        <v>2.5683971590456167</v>
      </c>
      <c r="R37">
        <f t="shared" ca="1" si="28"/>
        <v>11.755625666283013</v>
      </c>
      <c r="S37">
        <f t="shared" ca="1" si="28"/>
        <v>17.678291215816081</v>
      </c>
      <c r="T37">
        <f t="shared" ca="1" si="28"/>
        <v>19.968463445841003</v>
      </c>
      <c r="U37">
        <f t="shared" ca="1" si="28"/>
        <v>20.411403309687476</v>
      </c>
      <c r="V37">
        <f t="shared" ca="1" si="28"/>
        <v>19.938425576997759</v>
      </c>
      <c r="W37">
        <f t="shared" ca="1" si="28"/>
        <v>18.925797225618659</v>
      </c>
      <c r="X37">
        <f t="shared" ca="1" si="28"/>
        <v>17.552447772279891</v>
      </c>
      <c r="Y37">
        <f t="shared" ca="1" si="28"/>
        <v>15.93270500797215</v>
      </c>
      <c r="Z37">
        <f t="shared" ca="1" si="28"/>
        <v>17.55772621412115</v>
      </c>
      <c r="AA37">
        <f t="shared" ca="1" si="28"/>
        <v>19.115891827958031</v>
      </c>
      <c r="AB37">
        <f t="shared" ca="1" si="28"/>
        <v>20.699775460683419</v>
      </c>
      <c r="AC37">
        <f t="shared" ca="1" si="28"/>
        <v>22.326419209716853</v>
      </c>
      <c r="AD37">
        <f t="shared" ca="1" si="28"/>
        <v>23.958184444118917</v>
      </c>
      <c r="AE37">
        <f t="shared" ca="1" si="28"/>
        <v>25.558910276824729</v>
      </c>
      <c r="AF37">
        <f t="shared" ca="1" si="28"/>
        <v>27.107682240693308</v>
      </c>
      <c r="AG37">
        <f t="shared" ca="1" si="28"/>
        <v>28.59435962130652</v>
      </c>
      <c r="AH37">
        <f t="shared" ca="1" si="28"/>
        <v>30.014523945712508</v>
      </c>
      <c r="AI37">
        <f t="shared" ca="1" si="28"/>
        <v>31.199363453775334</v>
      </c>
    </row>
    <row r="38" spans="1:35">
      <c r="A38" t="s">
        <v>35</v>
      </c>
      <c r="B38" s="1">
        <f ca="1">SUMPRODUCT(lz,ta3_)</f>
        <v>1.2602223294777197</v>
      </c>
      <c r="C38" s="29">
        <f ca="1">B13/(phi_t3/SUM(B$36:B$38))</f>
        <v>0.45317012524861128</v>
      </c>
      <c r="E38" s="38">
        <f ca="1">C38/AVERAGE(C$36:C$38)</f>
        <v>0.25146597160252598</v>
      </c>
      <c r="G38" t="s">
        <v>69</v>
      </c>
      <c r="J38" s="8" t="s">
        <v>60</v>
      </c>
      <c r="K38">
        <f t="shared" ref="K38:AI38" ca="1" si="29">flt1_*qa1_+lz*wa*flt2_*flt1_/za*(sa-oa/za)</f>
        <v>-3.4016118643084527E-11</v>
      </c>
      <c r="L38">
        <f t="shared" ca="1" si="29"/>
        <v>-5.2659391042652777E-9</v>
      </c>
      <c r="M38">
        <f t="shared" ca="1" si="29"/>
        <v>-1.9343721819906464E-7</v>
      </c>
      <c r="N38">
        <f t="shared" ca="1" si="29"/>
        <v>-1.1565137206266444E-6</v>
      </c>
      <c r="O38">
        <f t="shared" ca="1" si="29"/>
        <v>-3.4713300891188712E-6</v>
      </c>
      <c r="P38">
        <f t="shared" ca="1" si="29"/>
        <v>-1.2323814122535744E-5</v>
      </c>
      <c r="Q38">
        <f t="shared" ca="1" si="29"/>
        <v>-1.0303028404922386E-4</v>
      </c>
      <c r="R38">
        <f t="shared" ca="1" si="29"/>
        <v>-2.7479293871640175E-4</v>
      </c>
      <c r="S38">
        <f t="shared" ca="1" si="29"/>
        <v>-5.5712818927804294E-4</v>
      </c>
      <c r="T38">
        <f t="shared" ca="1" si="29"/>
        <v>-9.3345215511879127E-4</v>
      </c>
      <c r="U38">
        <f t="shared" ca="1" si="29"/>
        <v>-2.8641520627614887E-4</v>
      </c>
      <c r="V38">
        <f t="shared" ca="1" si="29"/>
        <v>1.1168932347825627E-2</v>
      </c>
      <c r="W38">
        <f t="shared" ca="1" si="29"/>
        <v>0.10341993943468171</v>
      </c>
      <c r="X38">
        <f t="shared" ca="1" si="29"/>
        <v>0.69794827661598668</v>
      </c>
      <c r="Y38">
        <f t="shared" ca="1" si="29"/>
        <v>3.6464005894285876</v>
      </c>
      <c r="Z38">
        <f t="shared" ca="1" si="29"/>
        <v>13.203272429254186</v>
      </c>
      <c r="AA38">
        <f t="shared" ca="1" si="29"/>
        <v>30.853474408424951</v>
      </c>
      <c r="AB38">
        <f t="shared" ca="1" si="29"/>
        <v>49.845206103592801</v>
      </c>
      <c r="AC38">
        <f t="shared" ca="1" si="29"/>
        <v>64.336258285363542</v>
      </c>
      <c r="AD38">
        <f t="shared" ca="1" si="29"/>
        <v>74.297501733744937</v>
      </c>
      <c r="AE38">
        <f t="shared" ca="1" si="29"/>
        <v>81.538849012556611</v>
      </c>
      <c r="AF38">
        <f t="shared" ca="1" si="29"/>
        <v>87.37810305873225</v>
      </c>
      <c r="AG38">
        <f t="shared" ca="1" si="29"/>
        <v>92.486368903627707</v>
      </c>
      <c r="AH38">
        <f t="shared" ca="1" si="29"/>
        <v>97.16486386572943</v>
      </c>
      <c r="AI38">
        <f t="shared" ca="1" si="29"/>
        <v>101.51943123998643</v>
      </c>
    </row>
    <row r="39" spans="1:35">
      <c r="A39" s="1" t="s">
        <v>36</v>
      </c>
      <c r="B39" s="1">
        <f ca="1">SUMPRODUCT(lz,qa1_)</f>
        <v>16.622338502793774</v>
      </c>
      <c r="C39" s="23">
        <f ca="1">B4/(phi_q1/SUM(B$39:B$41))</f>
        <v>2.5031432313916047</v>
      </c>
      <c r="D39" s="21"/>
      <c r="E39" s="39">
        <f ca="1">C39/AVERAGE(C$39:C$41)</f>
        <v>1.8201201661060913</v>
      </c>
      <c r="G39" s="110">
        <f ca="1">re*phi_q1+f1_*phi_q1*$H31+f1_*re*G35</f>
        <v>1072640.6344934143</v>
      </c>
      <c r="H39" s="110">
        <f ca="1">re*phi_q1+f1_*phi_q1*$H32+f1_*re*H35</f>
        <v>1067804.8958154803</v>
      </c>
      <c r="I39" s="110">
        <f ca="1">re*phi_q1+f1_*phi_q1*$H33+f1_*re*I35</f>
        <v>1046581.7379379719</v>
      </c>
      <c r="J39" s="8" t="s">
        <v>66</v>
      </c>
      <c r="K39">
        <f t="shared" ref="K39:AI39" ca="1" si="30">flt1_*qa1_+lz*wa*flt3_*flt1_/za*(sa-oa/za)</f>
        <v>-7.8803066693040918E-14</v>
      </c>
      <c r="L39">
        <f t="shared" ca="1" si="30"/>
        <v>-4.0764881583036371E-12</v>
      </c>
      <c r="M39">
        <f t="shared" ca="1" si="30"/>
        <v>-9.3980122740174926E-11</v>
      </c>
      <c r="N39">
        <f t="shared" ca="1" si="30"/>
        <v>-1.4926896770489674E-9</v>
      </c>
      <c r="O39">
        <f t="shared" ca="1" si="30"/>
        <v>-1.9917126785674267E-8</v>
      </c>
      <c r="P39">
        <f t="shared" ca="1" si="30"/>
        <v>-8.4735072452491299E-7</v>
      </c>
      <c r="Q39">
        <f t="shared" ca="1" si="30"/>
        <v>-1.4600611533992195E-4</v>
      </c>
      <c r="R39">
        <f t="shared" ca="1" si="30"/>
        <v>-9.2938183544291348E-4</v>
      </c>
      <c r="S39">
        <f t="shared" ca="1" si="30"/>
        <v>-2.7151876355955575E-3</v>
      </c>
      <c r="T39">
        <f t="shared" ca="1" si="30"/>
        <v>-6.6085792603654469E-3</v>
      </c>
      <c r="U39">
        <f t="shared" ca="1" si="30"/>
        <v>-1.4085966638315992E-2</v>
      </c>
      <c r="V39">
        <f t="shared" ca="1" si="30"/>
        <v>-2.0896687493370029E-2</v>
      </c>
      <c r="W39">
        <f t="shared" ca="1" si="30"/>
        <v>3.2311154285793287E-2</v>
      </c>
      <c r="X39">
        <f t="shared" ca="1" si="30"/>
        <v>0.55128830536522555</v>
      </c>
      <c r="Y39">
        <f t="shared" ca="1" si="30"/>
        <v>3.3807588684444312</v>
      </c>
      <c r="Z39">
        <f t="shared" ca="1" si="30"/>
        <v>12.775213393141941</v>
      </c>
      <c r="AA39">
        <f t="shared" ca="1" si="30"/>
        <v>30.32001934894835</v>
      </c>
      <c r="AB39">
        <f t="shared" ca="1" si="30"/>
        <v>49.311263233391131</v>
      </c>
      <c r="AC39">
        <f t="shared" ca="1" si="30"/>
        <v>63.869681262843869</v>
      </c>
      <c r="AD39">
        <f t="shared" ca="1" si="30"/>
        <v>73.917003078081251</v>
      </c>
      <c r="AE39">
        <f t="shared" ca="1" si="30"/>
        <v>81.238624238207748</v>
      </c>
      <c r="AF39">
        <f t="shared" ca="1" si="30"/>
        <v>87.145108616005288</v>
      </c>
      <c r="AG39">
        <f t="shared" ca="1" si="30"/>
        <v>92.307251361011382</v>
      </c>
      <c r="AH39">
        <f t="shared" ca="1" si="30"/>
        <v>97.028032815513939</v>
      </c>
      <c r="AI39">
        <f t="shared" ca="1" si="30"/>
        <v>101.13738802125253</v>
      </c>
    </row>
    <row r="40" spans="1:35">
      <c r="A40" s="1" t="s">
        <v>37</v>
      </c>
      <c r="B40" s="1">
        <f ca="1">SUMPRODUCT(lz,qa2_)</f>
        <v>11.646014056577696</v>
      </c>
      <c r="C40" s="23">
        <f ca="1">B5/(phi_q2/SUM(B$39:B$41))</f>
        <v>1.3324259997411525</v>
      </c>
      <c r="D40" s="21"/>
      <c r="E40" s="39">
        <f ca="1">C40/AVERAGE(C$39:C$41)</f>
        <v>0.96885204232787048</v>
      </c>
      <c r="G40" s="110">
        <f ca="1">re*phi_q1+f1_*phi_q1*$H32+f1_*re*G36</f>
        <v>1067804.8958154803</v>
      </c>
      <c r="H40" s="110">
        <f ca="1">re*phi_q2+f2_*phi_q2*$H32+f2_*re*H36</f>
        <v>101514.7388874007</v>
      </c>
      <c r="I40" s="110">
        <f ca="1">re*phi_q3+f3_*phi_q3*$H33+f3_*re*I36</f>
        <v>454967.16397966893</v>
      </c>
      <c r="J40" s="8" t="s">
        <v>65</v>
      </c>
      <c r="K40">
        <f t="shared" ref="K40:AI40" ca="1" si="31">flt1_*qa1_+lz*wa*flt1_*flt2_/za*(sa-oa/za)</f>
        <v>-3.4016118643084527E-11</v>
      </c>
      <c r="L40">
        <f t="shared" ca="1" si="31"/>
        <v>-5.2659391042652785E-9</v>
      </c>
      <c r="M40">
        <f t="shared" ca="1" si="31"/>
        <v>-1.9343721819906464E-7</v>
      </c>
      <c r="N40">
        <f t="shared" ca="1" si="31"/>
        <v>-1.1565137206266444E-6</v>
      </c>
      <c r="O40">
        <f t="shared" ca="1" si="31"/>
        <v>-3.47133008911887E-6</v>
      </c>
      <c r="P40">
        <f t="shared" ca="1" si="31"/>
        <v>-1.2323814122535746E-5</v>
      </c>
      <c r="Q40">
        <f t="shared" ca="1" si="31"/>
        <v>-1.0303028404922386E-4</v>
      </c>
      <c r="R40">
        <f t="shared" ca="1" si="31"/>
        <v>-2.7479293871640175E-4</v>
      </c>
      <c r="S40">
        <f t="shared" ca="1" si="31"/>
        <v>-5.5712818927804305E-4</v>
      </c>
      <c r="T40">
        <f t="shared" ca="1" si="31"/>
        <v>-9.3345215511879127E-4</v>
      </c>
      <c r="U40">
        <f t="shared" ca="1" si="31"/>
        <v>-2.8641520627614887E-4</v>
      </c>
      <c r="V40">
        <f t="shared" ca="1" si="31"/>
        <v>1.1168932347825625E-2</v>
      </c>
      <c r="W40">
        <f t="shared" ca="1" si="31"/>
        <v>0.10341993943468171</v>
      </c>
      <c r="X40">
        <f t="shared" ca="1" si="31"/>
        <v>0.69794827661598668</v>
      </c>
      <c r="Y40">
        <f t="shared" ca="1" si="31"/>
        <v>3.6464005894285876</v>
      </c>
      <c r="Z40">
        <f t="shared" ca="1" si="31"/>
        <v>13.203272429254186</v>
      </c>
      <c r="AA40">
        <f t="shared" ca="1" si="31"/>
        <v>30.853474408424951</v>
      </c>
      <c r="AB40">
        <f t="shared" ca="1" si="31"/>
        <v>49.845206103592801</v>
      </c>
      <c r="AC40">
        <f t="shared" ca="1" si="31"/>
        <v>64.336258285363542</v>
      </c>
      <c r="AD40">
        <f t="shared" ca="1" si="31"/>
        <v>74.297501733744937</v>
      </c>
      <c r="AE40">
        <f t="shared" ca="1" si="31"/>
        <v>81.538849012556611</v>
      </c>
      <c r="AF40">
        <f t="shared" ca="1" si="31"/>
        <v>87.37810305873225</v>
      </c>
      <c r="AG40">
        <f t="shared" ca="1" si="31"/>
        <v>92.486368903627707</v>
      </c>
      <c r="AH40">
        <f t="shared" ca="1" si="31"/>
        <v>97.16486386572943</v>
      </c>
      <c r="AI40">
        <f t="shared" ca="1" si="31"/>
        <v>101.51943123998643</v>
      </c>
    </row>
    <row r="41" spans="1:35">
      <c r="A41" s="1" t="s">
        <v>38</v>
      </c>
      <c r="B41" s="1">
        <f ca="1">SUMPRODUCT(lz,qa3_)</f>
        <v>40.656454019975051</v>
      </c>
      <c r="C41" s="23">
        <f ca="1">B6/(phi_q3/SUM(B$39:B$41))</f>
        <v>0.29021863387412106</v>
      </c>
      <c r="D41" s="21"/>
      <c r="E41" s="39">
        <f ca="1">C41/AVERAGE(C$39:C$41)</f>
        <v>0.21102779156603871</v>
      </c>
      <c r="G41" s="110">
        <f ca="1">re*phi_q1+f1_*phi_q1*$H33+f1_*re*G37</f>
        <v>1046581.7379379719</v>
      </c>
      <c r="H41" s="110">
        <f ca="1">re*phi_q3+f3_*phi_q3*$H33+f3_*re*H37</f>
        <v>454967.16397966893</v>
      </c>
      <c r="I41" s="110">
        <f ca="1">re*phi_q3+f1_*phi_q3*$H33+f3_*re*I37</f>
        <v>324694.11760942766</v>
      </c>
      <c r="J41" s="8" t="s">
        <v>67</v>
      </c>
      <c r="K41">
        <f t="shared" ref="K41:AI41" ca="1" si="32">flt1_*qa1_+lz*wa*flt3_*flt2_/za*(sa-oa/za)</f>
        <v>-6.8772965737295829E-9</v>
      </c>
      <c r="L41">
        <f t="shared" ca="1" si="32"/>
        <v>-1.4914971005982091E-6</v>
      </c>
      <c r="M41">
        <f t="shared" ca="1" si="32"/>
        <v>-7.6578612494905839E-5</v>
      </c>
      <c r="N41">
        <f t="shared" ca="1" si="32"/>
        <v>-6.34436159687412E-4</v>
      </c>
      <c r="O41">
        <f t="shared" ca="1" si="32"/>
        <v>-2.6338777540918837E-3</v>
      </c>
      <c r="P41">
        <f t="shared" ca="1" si="32"/>
        <v>-2.3912488330429627E-2</v>
      </c>
      <c r="Q41">
        <f t="shared" ca="1" si="32"/>
        <v>-0.3425358137358564</v>
      </c>
      <c r="R41">
        <f t="shared" ca="1" si="32"/>
        <v>-0.53084431450907821</v>
      </c>
      <c r="S41">
        <f t="shared" ca="1" si="32"/>
        <v>-0.46268558205825988</v>
      </c>
      <c r="T41">
        <f t="shared" ca="1" si="32"/>
        <v>-0.34535590307960562</v>
      </c>
      <c r="U41">
        <f t="shared" ca="1" si="32"/>
        <v>-0.24146150902752708</v>
      </c>
      <c r="V41">
        <f t="shared" ca="1" si="32"/>
        <v>-0.15079945428209771</v>
      </c>
      <c r="W41">
        <f t="shared" ca="1" si="32"/>
        <v>4.9058657556015628E-4</v>
      </c>
      <c r="X41">
        <f t="shared" ca="1" si="32"/>
        <v>0.6396451166760958</v>
      </c>
      <c r="Y41">
        <f t="shared" ca="1" si="32"/>
        <v>3.622082078287872</v>
      </c>
      <c r="Z41">
        <f t="shared" ca="1" si="32"/>
        <v>13.197369346154078</v>
      </c>
      <c r="AA41">
        <f t="shared" ca="1" si="32"/>
        <v>30.862341939346983</v>
      </c>
      <c r="AB41">
        <f t="shared" ca="1" si="32"/>
        <v>49.860433283032144</v>
      </c>
      <c r="AC41">
        <f t="shared" ca="1" si="32"/>
        <v>64.351735078312046</v>
      </c>
      <c r="AD41">
        <f t="shared" ca="1" si="32"/>
        <v>74.310815560647143</v>
      </c>
      <c r="AE41">
        <f t="shared" ca="1" si="32"/>
        <v>81.549567609354867</v>
      </c>
      <c r="AF41">
        <f t="shared" ca="1" si="32"/>
        <v>87.386486179752893</v>
      </c>
      <c r="AG41">
        <f t="shared" ca="1" si="32"/>
        <v>92.49283296929687</v>
      </c>
      <c r="AH41">
        <f t="shared" ca="1" si="32"/>
        <v>97.169807650057351</v>
      </c>
      <c r="AI41">
        <f t="shared" ca="1" si="32"/>
        <v>101.53324088362412</v>
      </c>
    </row>
    <row r="42" spans="1:35">
      <c r="A42" s="1" t="s">
        <v>96</v>
      </c>
      <c r="B42" s="1">
        <f ca="1">SUMPRODUCT(lz/SUM(lz),len,ta1_)</f>
        <v>5.3093862093465649</v>
      </c>
      <c r="J42" s="8" t="s">
        <v>68</v>
      </c>
      <c r="K42">
        <f t="shared" ref="K42:AI42" ca="1" si="33">flt1_*qa1_+lz*wa*flt1_*flt3_/za*(sa-oa/za)</f>
        <v>-7.8803066693040918E-14</v>
      </c>
      <c r="L42">
        <f t="shared" ca="1" si="33"/>
        <v>-4.0764881583036371E-12</v>
      </c>
      <c r="M42">
        <f t="shared" ca="1" si="33"/>
        <v>-9.3980122740174913E-11</v>
      </c>
      <c r="N42">
        <f t="shared" ca="1" si="33"/>
        <v>-1.4926896770489674E-9</v>
      </c>
      <c r="O42">
        <f t="shared" ca="1" si="33"/>
        <v>-1.9917126785674267E-8</v>
      </c>
      <c r="P42">
        <f t="shared" ca="1" si="33"/>
        <v>-8.4735072452491331E-7</v>
      </c>
      <c r="Q42">
        <f t="shared" ca="1" si="33"/>
        <v>-1.4600611533992195E-4</v>
      </c>
      <c r="R42">
        <f t="shared" ca="1" si="33"/>
        <v>-9.2938183544291348E-4</v>
      </c>
      <c r="S42">
        <f t="shared" ca="1" si="33"/>
        <v>-2.7151876355955584E-3</v>
      </c>
      <c r="T42">
        <f t="shared" ca="1" si="33"/>
        <v>-6.6085792603654487E-3</v>
      </c>
      <c r="U42">
        <f t="shared" ca="1" si="33"/>
        <v>-1.4085966638315989E-2</v>
      </c>
      <c r="V42">
        <f t="shared" ca="1" si="33"/>
        <v>-2.0896687493370036E-2</v>
      </c>
      <c r="W42">
        <f t="shared" ca="1" si="33"/>
        <v>3.23111542857933E-2</v>
      </c>
      <c r="X42">
        <f t="shared" ca="1" si="33"/>
        <v>0.55128830536522555</v>
      </c>
      <c r="Y42">
        <f t="shared" ca="1" si="33"/>
        <v>3.3807588684444312</v>
      </c>
      <c r="Z42">
        <f t="shared" ca="1" si="33"/>
        <v>12.775213393141941</v>
      </c>
      <c r="AA42">
        <f t="shared" ca="1" si="33"/>
        <v>30.32001934894835</v>
      </c>
      <c r="AB42">
        <f t="shared" ca="1" si="33"/>
        <v>49.311263233391131</v>
      </c>
      <c r="AC42">
        <f t="shared" ca="1" si="33"/>
        <v>63.869681262843869</v>
      </c>
      <c r="AD42">
        <f t="shared" ca="1" si="33"/>
        <v>73.917003078081251</v>
      </c>
      <c r="AE42">
        <f t="shared" ca="1" si="33"/>
        <v>81.238624238207748</v>
      </c>
      <c r="AF42">
        <f t="shared" ca="1" si="33"/>
        <v>87.145108616005288</v>
      </c>
      <c r="AG42">
        <f t="shared" ca="1" si="33"/>
        <v>92.307251361011382</v>
      </c>
      <c r="AH42">
        <f t="shared" ca="1" si="33"/>
        <v>97.028032815513939</v>
      </c>
      <c r="AI42">
        <f t="shared" ca="1" si="33"/>
        <v>101.13738802125253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-6.8772965737295829E-9</v>
      </c>
      <c r="L43">
        <f t="shared" ca="1" si="34"/>
        <v>-1.4914971005982089E-6</v>
      </c>
      <c r="M43">
        <f t="shared" ca="1" si="34"/>
        <v>-7.6578612494905839E-5</v>
      </c>
      <c r="N43">
        <f t="shared" ca="1" si="34"/>
        <v>-6.34436159687412E-4</v>
      </c>
      <c r="O43">
        <f t="shared" ca="1" si="34"/>
        <v>-2.6338777540918842E-3</v>
      </c>
      <c r="P43">
        <f t="shared" ca="1" si="34"/>
        <v>-2.3912488330429627E-2</v>
      </c>
      <c r="Q43">
        <f t="shared" ca="1" si="34"/>
        <v>-0.34253581373585634</v>
      </c>
      <c r="R43">
        <f t="shared" ca="1" si="34"/>
        <v>-0.5308443145090781</v>
      </c>
      <c r="S43">
        <f t="shared" ca="1" si="34"/>
        <v>-0.46268558205825988</v>
      </c>
      <c r="T43">
        <f t="shared" ca="1" si="34"/>
        <v>-0.34535590307960562</v>
      </c>
      <c r="U43">
        <f t="shared" ca="1" si="34"/>
        <v>-0.24146150902752708</v>
      </c>
      <c r="V43">
        <f t="shared" ca="1" si="34"/>
        <v>-0.15079945428209771</v>
      </c>
      <c r="W43">
        <f t="shared" ca="1" si="34"/>
        <v>4.9058657556015628E-4</v>
      </c>
      <c r="X43">
        <f t="shared" ca="1" si="34"/>
        <v>0.6396451166760958</v>
      </c>
      <c r="Y43">
        <f t="shared" ca="1" si="34"/>
        <v>3.622082078287872</v>
      </c>
      <c r="Z43">
        <f t="shared" ca="1" si="34"/>
        <v>13.197369346154078</v>
      </c>
      <c r="AA43">
        <f t="shared" ca="1" si="34"/>
        <v>30.862341939346983</v>
      </c>
      <c r="AB43">
        <f t="shared" ca="1" si="34"/>
        <v>49.860433283032144</v>
      </c>
      <c r="AC43">
        <f t="shared" ca="1" si="34"/>
        <v>64.351735078312046</v>
      </c>
      <c r="AD43">
        <f t="shared" ca="1" si="34"/>
        <v>74.310815560647143</v>
      </c>
      <c r="AE43">
        <f t="shared" ca="1" si="34"/>
        <v>81.549567609354867</v>
      </c>
      <c r="AF43">
        <f t="shared" ca="1" si="34"/>
        <v>87.386486179752893</v>
      </c>
      <c r="AG43">
        <f t="shared" ca="1" si="34"/>
        <v>92.49283296929687</v>
      </c>
      <c r="AH43">
        <f t="shared" ca="1" si="34"/>
        <v>97.169807650057351</v>
      </c>
      <c r="AI43">
        <f t="shared" ca="1" si="34"/>
        <v>101.53324088362412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0.40000000000000013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7.2533547116052135E-9</v>
      </c>
      <c r="L46">
        <f t="shared" ca="1" si="35"/>
        <v>1.047161406017573E-7</v>
      </c>
      <c r="M46">
        <f t="shared" ca="1" si="35"/>
        <v>6.793177367312902E-7</v>
      </c>
      <c r="N46">
        <f t="shared" ca="1" si="35"/>
        <v>3.0512269388546357E-6</v>
      </c>
      <c r="O46">
        <f t="shared" ca="1" si="35"/>
        <v>1.1388643058935735E-5</v>
      </c>
      <c r="P46">
        <f t="shared" ca="1" si="35"/>
        <v>5.2782768695345492E-5</v>
      </c>
      <c r="Q46">
        <f t="shared" ca="1" si="35"/>
        <v>5.8018300241764341E-4</v>
      </c>
      <c r="R46">
        <f t="shared" ca="1" si="35"/>
        <v>2.0521978920674117E-3</v>
      </c>
      <c r="S46">
        <f t="shared" ca="1" si="35"/>
        <v>5.6923583740059128E-3</v>
      </c>
      <c r="T46">
        <f t="shared" ca="1" si="35"/>
        <v>1.5151278435630041E-2</v>
      </c>
      <c r="U46">
        <f t="shared" ca="1" si="35"/>
        <v>3.9182025541524522E-2</v>
      </c>
      <c r="V46">
        <f t="shared" ca="1" si="35"/>
        <v>9.8405337435634566E-2</v>
      </c>
      <c r="W46">
        <f t="shared" ca="1" si="35"/>
        <v>0.23763771518838731</v>
      </c>
      <c r="X46">
        <f t="shared" ca="1" si="35"/>
        <v>0.53657045900309019</v>
      </c>
      <c r="Y46">
        <f t="shared" ca="1" si="35"/>
        <v>1.0693058895312917</v>
      </c>
      <c r="Z46">
        <f t="shared" ca="1" si="35"/>
        <v>1.7329444059622046</v>
      </c>
      <c r="AA46">
        <f t="shared" ca="1" si="35"/>
        <v>2.1725760284874251</v>
      </c>
      <c r="AB46">
        <f t="shared" ca="1" si="35"/>
        <v>2.1837686568114298</v>
      </c>
      <c r="AC46">
        <f t="shared" ca="1" si="35"/>
        <v>1.9124989666672843</v>
      </c>
      <c r="AD46">
        <f t="shared" ca="1" si="35"/>
        <v>1.5612122974722116</v>
      </c>
      <c r="AE46">
        <f t="shared" ca="1" si="35"/>
        <v>1.2323478022038159</v>
      </c>
      <c r="AF46">
        <f t="shared" ca="1" si="35"/>
        <v>0.95654056102842855</v>
      </c>
      <c r="AG46">
        <f t="shared" ca="1" si="35"/>
        <v>0.73540049407731423</v>
      </c>
      <c r="AH46">
        <f t="shared" ca="1" si="35"/>
        <v>0.56179952026350188</v>
      </c>
      <c r="AI46">
        <f t="shared" ca="1" si="35"/>
        <v>1.5686043114901829</v>
      </c>
    </row>
    <row r="47" spans="1:35" ht="19" thickTop="1">
      <c r="A47" s="1" t="s">
        <v>41</v>
      </c>
      <c r="B47" s="11">
        <f ca="1">MAX(0,Ro*(reck-1/spr)/(reck-1))</f>
        <v>8771.7289435895145</v>
      </c>
      <c r="F47" t="s">
        <v>84</v>
      </c>
      <c r="G47" s="31">
        <f ca="1">G39/G53</f>
        <v>1</v>
      </c>
      <c r="H47" s="31">
        <f ca="1">H53/H39</f>
        <v>0.30902937659537849</v>
      </c>
      <c r="I47" s="31">
        <f ca="1">I53/I39</f>
        <v>0.56388582913028251</v>
      </c>
      <c r="J47" s="8" t="s">
        <v>76</v>
      </c>
      <c r="K47">
        <f t="shared" ref="K47:AI47" ca="1" si="36">lz*qa2_</f>
        <v>6.2659093169905862E-4</v>
      </c>
      <c r="L47">
        <f t="shared" ca="1" si="36"/>
        <v>3.799022050470658E-2</v>
      </c>
      <c r="M47">
        <f t="shared" ca="1" si="36"/>
        <v>0.54959390728308533</v>
      </c>
      <c r="N47">
        <f t="shared" ca="1" si="36"/>
        <v>1.2887124349828454</v>
      </c>
      <c r="O47">
        <f t="shared" ca="1" si="36"/>
        <v>1.4975953544095542</v>
      </c>
      <c r="P47">
        <f t="shared" ca="1" si="36"/>
        <v>1.4855488561384527</v>
      </c>
      <c r="Q47">
        <f t="shared" ca="1" si="36"/>
        <v>1.3585478283217174</v>
      </c>
      <c r="R47">
        <f t="shared" ca="1" si="36"/>
        <v>1.1675024522682893</v>
      </c>
      <c r="S47">
        <f t="shared" ca="1" si="36"/>
        <v>0.95872224217727087</v>
      </c>
      <c r="T47">
        <f t="shared" ca="1" si="36"/>
        <v>0.76204555886239322</v>
      </c>
      <c r="U47">
        <f t="shared" ca="1" si="36"/>
        <v>0.59048885789990335</v>
      </c>
      <c r="V47">
        <f t="shared" ca="1" si="36"/>
        <v>0.44780895515340952</v>
      </c>
      <c r="W47">
        <f t="shared" ca="1" si="36"/>
        <v>0.33284233989376127</v>
      </c>
      <c r="X47">
        <f t="shared" ca="1" si="36"/>
        <v>0.24201837440124122</v>
      </c>
      <c r="Y47">
        <f t="shared" ca="1" si="36"/>
        <v>0.17107079688593349</v>
      </c>
      <c r="Z47">
        <f t="shared" ca="1" si="36"/>
        <v>0.15264589654437249</v>
      </c>
      <c r="AA47">
        <f t="shared" ca="1" si="36"/>
        <v>0.13027342225297306</v>
      </c>
      <c r="AB47">
        <f t="shared" ca="1" si="36"/>
        <v>0.10692439028545375</v>
      </c>
      <c r="AC47">
        <f t="shared" ca="1" si="36"/>
        <v>8.5414447353403505E-2</v>
      </c>
      <c r="AD47">
        <f t="shared" ca="1" si="36"/>
        <v>6.7098879718802434E-2</v>
      </c>
      <c r="AE47">
        <f t="shared" ca="1" si="36"/>
        <v>5.2154020883523854E-2</v>
      </c>
      <c r="AF47">
        <f t="shared" ca="1" si="36"/>
        <v>4.023572444893847E-2</v>
      </c>
      <c r="AG47">
        <f t="shared" ca="1" si="36"/>
        <v>3.0859966254161687E-2</v>
      </c>
      <c r="AH47">
        <f t="shared" ca="1" si="36"/>
        <v>2.3553156910220266E-2</v>
      </c>
      <c r="AI47">
        <f t="shared" ca="1" si="36"/>
        <v>6.5739381811585035E-2</v>
      </c>
    </row>
    <row r="48" spans="1:35">
      <c r="A48" s="1" t="s">
        <v>43</v>
      </c>
      <c r="B48" s="1">
        <f ca="1">f1_*re*phi_q1</f>
        <v>22522.392375219097</v>
      </c>
      <c r="C48" s="20">
        <f ca="1">ye_1/SUM(ye_1,ye_2,ye_3)</f>
        <v>0.60367371601208464</v>
      </c>
      <c r="F48" t="s">
        <v>85</v>
      </c>
      <c r="G48" s="31">
        <f ca="1">G40/G54</f>
        <v>3.235938314399573</v>
      </c>
      <c r="H48" s="31">
        <f t="shared" ref="H48:I49" ca="1" si="37">H40/H54</f>
        <v>1.0000000000000002</v>
      </c>
      <c r="I48" s="31">
        <f ca="1">I54/I40</f>
        <v>0.39904484749839758</v>
      </c>
      <c r="J48" s="8" t="s">
        <v>77</v>
      </c>
      <c r="K48">
        <f t="shared" ref="K48:AI48" ca="1" si="38">lz*qa3_</f>
        <v>1.4664310539192683E-6</v>
      </c>
      <c r="L48">
        <f t="shared" ca="1" si="38"/>
        <v>2.9659058401038212E-5</v>
      </c>
      <c r="M48">
        <f t="shared" ca="1" si="38"/>
        <v>2.6892978230169711E-4</v>
      </c>
      <c r="N48">
        <f t="shared" ca="1" si="38"/>
        <v>1.6738175264585579E-3</v>
      </c>
      <c r="O48">
        <f t="shared" ca="1" si="38"/>
        <v>8.6408730678133195E-3</v>
      </c>
      <c r="P48">
        <f t="shared" ca="1" si="38"/>
        <v>0.10239800881294837</v>
      </c>
      <c r="Q48">
        <f t="shared" ca="1" si="38"/>
        <v>1.9236996753698528</v>
      </c>
      <c r="R48">
        <f t="shared" ca="1" si="38"/>
        <v>3.9114279467072897</v>
      </c>
      <c r="S48">
        <f t="shared" ca="1" si="38"/>
        <v>4.4696285943201985</v>
      </c>
      <c r="T48">
        <f t="shared" ca="1" si="38"/>
        <v>4.3762013915685811</v>
      </c>
      <c r="U48">
        <f t="shared" ca="1" si="38"/>
        <v>4.0428021696161824</v>
      </c>
      <c r="V48">
        <f t="shared" ca="1" si="38"/>
        <v>3.6246838979820315</v>
      </c>
      <c r="W48">
        <f t="shared" ca="1" si="38"/>
        <v>3.1783483516500897</v>
      </c>
      <c r="X48">
        <f t="shared" ca="1" si="38"/>
        <v>2.7249938157191078</v>
      </c>
      <c r="Y48">
        <f t="shared" ca="1" si="38"/>
        <v>2.2708544541147324</v>
      </c>
      <c r="Z48">
        <f t="shared" ca="1" si="38"/>
        <v>2.0262757897904398</v>
      </c>
      <c r="AA48">
        <f t="shared" ca="1" si="38"/>
        <v>1.7292956282490914</v>
      </c>
      <c r="AB48">
        <f t="shared" ca="1" si="38"/>
        <v>1.4193522936303686</v>
      </c>
      <c r="AC48">
        <f t="shared" ca="1" si="38"/>
        <v>1.133821679380822</v>
      </c>
      <c r="AD48">
        <f t="shared" ca="1" si="38"/>
        <v>0.89069433620017302</v>
      </c>
      <c r="AE48">
        <f t="shared" ca="1" si="38"/>
        <v>0.69231097755575643</v>
      </c>
      <c r="AF48">
        <f t="shared" ca="1" si="38"/>
        <v>0.53410328204835711</v>
      </c>
      <c r="AG48">
        <f t="shared" ca="1" si="38"/>
        <v>0.40964614123368048</v>
      </c>
      <c r="AH48">
        <f t="shared" ca="1" si="38"/>
        <v>0.31265296153206146</v>
      </c>
      <c r="AI48">
        <f t="shared" ca="1" si="38"/>
        <v>0.87264787862727244</v>
      </c>
    </row>
    <row r="49" spans="1:47">
      <c r="A49" s="1" t="s">
        <v>44</v>
      </c>
      <c r="B49" s="1">
        <f ca="1">f2_*re*phi_q2</f>
        <v>8399.571004330619</v>
      </c>
      <c r="C49" s="20">
        <f ca="1">ye_2/SUM(ye_1,ye_2,ye_3)</f>
        <v>0.22513595166163142</v>
      </c>
      <c r="F49" t="s">
        <v>86</v>
      </c>
      <c r="G49" s="31">
        <f ca="1">G41/G55</f>
        <v>1.7734086376002116</v>
      </c>
      <c r="H49" s="31">
        <f t="shared" ca="1" si="37"/>
        <v>2.5059839921978084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6386.9201743074382</v>
      </c>
      <c r="C50" s="20">
        <f ca="1">ye_3/SUM(ye_1,ye_2,ye_3)</f>
        <v>0.17119033232628403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37308.883553857151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10">
        <f ca="1">G39^0.5</f>
        <v>1035.6836556079343</v>
      </c>
      <c r="H52" s="110">
        <f ca="1">H40^0.5</f>
        <v>318.61377698932085</v>
      </c>
      <c r="I52" s="111">
        <f ca="1">I41^0.5</f>
        <v>569.81937279231533</v>
      </c>
      <c r="J52" s="110"/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2.567611530185133</v>
      </c>
      <c r="C53">
        <f ca="1">AVERAGE(B53:B55)/B53</f>
        <v>0.55217466736063836</v>
      </c>
      <c r="G53" s="110">
        <f ca="1">G$52*$J53</f>
        <v>1072640.6344934143</v>
      </c>
      <c r="H53" s="110">
        <f t="shared" ref="H53:I53" ca="1" si="39">H$52*$J53</f>
        <v>329983.08127935097</v>
      </c>
      <c r="I53" s="110">
        <f t="shared" ca="1" si="39"/>
        <v>590152.61104976537</v>
      </c>
      <c r="J53" s="110">
        <f t="array" aca="1" ref="J53:J55" ca="1">TRANSPOSE(G52:I52)</f>
        <v>1035.6836556079343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0.95757302332844274</v>
      </c>
      <c r="C54">
        <f ca="1">AVERAGE(B53:B55)/B54</f>
        <v>1.4805868670602969</v>
      </c>
      <c r="G54" s="110">
        <f t="shared" ref="G54:I55" ca="1" si="40">G$52*$J54</f>
        <v>329983.08127935097</v>
      </c>
      <c r="H54" s="110">
        <f t="shared" ca="1" si="40"/>
        <v>101514.73888740069</v>
      </c>
      <c r="I54" s="110">
        <f ca="1">I$52*$J54</f>
        <v>181552.30256704544</v>
      </c>
      <c r="J54" s="110">
        <f ca="1"/>
        <v>318.61377698932085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0.7281255742603715</v>
      </c>
      <c r="C55">
        <f ca="1">AVERAGE(B53:B55)/B55</f>
        <v>1.9471504541390179</v>
      </c>
      <c r="G55" s="110">
        <f t="shared" ca="1" si="40"/>
        <v>590152.61104976537</v>
      </c>
      <c r="H55" s="110">
        <f t="shared" ca="1" si="40"/>
        <v>181552.30256704544</v>
      </c>
      <c r="I55" s="110">
        <f t="shared" ca="1" si="40"/>
        <v>324694.11760942766</v>
      </c>
      <c r="J55" s="110">
        <f ca="1"/>
        <v>569.81937279231533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3.2274336727668086E-2</v>
      </c>
      <c r="C56">
        <f ca="1">AVERAGE(B56:B58)/B56</f>
        <v>1.9798613420901578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0.13685219317284747</v>
      </c>
      <c r="C57">
        <f ca="1">AVERAGE(B56:B58)/B57</f>
        <v>0.46691770257569104</v>
      </c>
      <c r="G57">
        <f t="array" aca="1" ref="G57:I59" ca="1">MMULT($G$39:$I$41,TRANSPOSE($G$39:$I$41))</f>
        <v>3386098560479.209</v>
      </c>
      <c r="H57">
        <f ca="1"/>
        <v>1729929181326.6396</v>
      </c>
      <c r="I57">
        <f ca="1"/>
        <v>1948241198469.6926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2.2569604985616276E-2</v>
      </c>
      <c r="C58">
        <f ca="1">AVERAGE(B56:B58)/B58</f>
        <v>2.8311843148975617</v>
      </c>
      <c r="G58">
        <f ca="1"/>
        <v>1729929181326.6396</v>
      </c>
      <c r="H58">
        <f ca="1"/>
        <v>1357507658038.5889</v>
      </c>
      <c r="I58">
        <f ca="1"/>
        <v>1311456138344.6201</v>
      </c>
      <c r="AL58" s="31"/>
      <c r="AM58" s="31"/>
      <c r="AN58" s="31"/>
      <c r="AO58" s="31"/>
      <c r="AP58" s="31"/>
    </row>
    <row r="59" spans="1:47">
      <c r="G59">
        <f ca="1"/>
        <v>1948241198469.6926</v>
      </c>
      <c r="H59">
        <f ca="1"/>
        <v>1311456138344.6201</v>
      </c>
      <c r="I59">
        <f ca="1"/>
        <v>1407754724495.1335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79.555826409407686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6.9971331925898035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32.261334424080957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(1)'!K18:AI18</xm:f>
              <xm:sqref>J18</xm:sqref>
            </x14:sparkline>
            <x14:sparkline>
              <xm:f>'Excluders (1)'!K19:AI19</xm:f>
              <xm:sqref>J19</xm:sqref>
            </x14:sparkline>
            <x14:sparkline>
              <xm:f>'Excluders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(1)'!K46:AI46</xm:f>
              <xm:sqref>J46</xm:sqref>
            </x14:sparkline>
            <x14:sparkline>
              <xm:f>'Excluders (1)'!K47:AI47</xm:f>
              <xm:sqref>J47</xm:sqref>
            </x14:sparkline>
            <x14:sparkline>
              <xm:f>'Excluders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8" sqref="G48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G3" t="s">
        <v>142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0.67286601798222379</v>
      </c>
      <c r="E4" s="47">
        <v>24977</v>
      </c>
      <c r="F4" s="47">
        <f ca="1">ye_1</f>
        <v>28318.883277827834</v>
      </c>
      <c r="G4">
        <f ca="1">F4/(f1_*365*re*phib)</f>
        <v>5.320781107968467E-4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0.13425672999399701</v>
      </c>
      <c r="E5" s="47">
        <v>9315</v>
      </c>
      <c r="F5" s="47">
        <f ca="1">ye_2</f>
        <v>5650.4572446149195</v>
      </c>
      <c r="G5">
        <f ca="1">F5/(f2_*365*re*phib)</f>
        <v>4.4535231569788611E-4</v>
      </c>
      <c r="J5" t="s">
        <v>3</v>
      </c>
      <c r="K5" s="9">
        <f>0.00000692*len^3.24</f>
        <v>7.0158553546955618E-2</v>
      </c>
      <c r="L5" s="9">
        <f>0.00000692*len^3.24</f>
        <v>0.46238682351281868</v>
      </c>
      <c r="M5" s="9">
        <f>0.00000692*len^3.24</f>
        <v>1.4016693105158124</v>
      </c>
      <c r="N5" s="9">
        <f>0.00000692*len^3.24</f>
        <v>3.0263235000724551</v>
      </c>
      <c r="O5" s="9">
        <f>0.00000692*len^3.24</f>
        <v>5.3989138613447478</v>
      </c>
      <c r="P5" s="9">
        <f>0.00000692*len^3.24</f>
        <v>8.5235871881960321</v>
      </c>
      <c r="Q5" s="9">
        <f>0.00000692*len^3.24</f>
        <v>12.362641181768007</v>
      </c>
      <c r="R5" s="9">
        <f>0.00000692*len^3.24</f>
        <v>16.850499568231225</v>
      </c>
      <c r="S5" s="9">
        <f>0.00000692*len^3.24</f>
        <v>21.904807515591521</v>
      </c>
      <c r="T5" s="9">
        <f>0.00000692*len^3.24</f>
        <v>27.434883404502997</v>
      </c>
      <c r="U5" s="9">
        <f>0.00000692*len^3.24</f>
        <v>33.347926709886231</v>
      </c>
      <c r="V5" s="9">
        <f>0.00000692*len^3.24</f>
        <v>39.553403570181338</v>
      </c>
      <c r="W5" s="9">
        <f>0.00000692*len^3.24</f>
        <v>45.965996898027832</v>
      </c>
      <c r="X5" s="9">
        <f>0.00000692*len^3.24</f>
        <v>52.507453509450855</v>
      </c>
      <c r="Y5" s="9">
        <f>0.00000692*len^3.24</f>
        <v>59.107603219100518</v>
      </c>
      <c r="Z5" s="9">
        <f>0.00000692*len^3.24</f>
        <v>65.704771366005971</v>
      </c>
      <c r="AA5" s="9">
        <f>0.00000692*len^3.24</f>
        <v>72.245759564237062</v>
      </c>
      <c r="AB5" s="9">
        <f>0.00000692*len^3.24</f>
        <v>78.685530247837576</v>
      </c>
      <c r="AC5" s="9">
        <f>0.00000692*len^3.24</f>
        <v>84.986698433372865</v>
      </c>
      <c r="AD5" s="9">
        <f>0.00000692*len^3.24</f>
        <v>91.118908268394236</v>
      </c>
      <c r="AE5" s="9">
        <f>0.00000692*len^3.24</f>
        <v>97.058151452529373</v>
      </c>
      <c r="AF5" s="9">
        <f>0.00000692*len^3.24</f>
        <v>102.78606860782043</v>
      </c>
      <c r="AG5" s="9">
        <f>0.00000692*len^3.24</f>
        <v>108.28926231630099</v>
      </c>
      <c r="AH5" s="9">
        <f>0.00000692*len^3.24</f>
        <v>113.55864112278009</v>
      </c>
      <c r="AI5" s="9">
        <f>0.00000692*len^3.24</f>
        <v>118.58880671719038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0.19287725202377928</v>
      </c>
      <c r="E6" s="47">
        <v>7083</v>
      </c>
      <c r="F6" s="47">
        <f ca="1">ye_3</f>
        <v>8117.6166443791017</v>
      </c>
      <c r="G6">
        <f ca="1">F6/(f3_*365*re*phib)</f>
        <v>1.5291919183313364E-3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0.40000000000000946</v>
      </c>
      <c r="J7" t="s">
        <v>7</v>
      </c>
      <c r="K7" s="1">
        <f>1</f>
        <v>1</v>
      </c>
      <c r="L7" s="1">
        <f ca="1">K7*EXP(-K8)</f>
        <v>0.86027655787990787</v>
      </c>
      <c r="M7" s="1">
        <f t="shared" ref="M7:AH7" ca="1" si="3">L7*EXP(-L8)</f>
        <v>0.73647443549781499</v>
      </c>
      <c r="N7" s="1">
        <f t="shared" ca="1" si="3"/>
        <v>0.61474566777639272</v>
      </c>
      <c r="O7" s="1">
        <f t="shared" ca="1" si="3"/>
        <v>0.50788797833540644</v>
      </c>
      <c r="P7" s="1">
        <f t="shared" ca="1" si="3"/>
        <v>0.42298687415611569</v>
      </c>
      <c r="Q7" s="1">
        <f t="shared" ca="1" si="3"/>
        <v>0.35478249223271208</v>
      </c>
      <c r="R7" s="1">
        <f t="shared" ca="1" si="3"/>
        <v>0.29618575273145825</v>
      </c>
      <c r="S7" s="1">
        <f t="shared" ca="1" si="3"/>
        <v>0.24612379171149312</v>
      </c>
      <c r="T7" s="1">
        <f t="shared" ca="1" si="3"/>
        <v>0.20494490362928683</v>
      </c>
      <c r="U7" s="1">
        <f t="shared" ca="1" si="3"/>
        <v>0.17126079364757169</v>
      </c>
      <c r="V7" s="1">
        <f t="shared" ca="1" si="3"/>
        <v>0.14351173230342612</v>
      </c>
      <c r="W7" s="1">
        <f t="shared" ca="1" si="3"/>
        <v>0.12033394663222552</v>
      </c>
      <c r="X7" s="1">
        <f t="shared" ca="1" si="3"/>
        <v>0.10051158208945281</v>
      </c>
      <c r="Y7" s="1">
        <f t="shared" ca="1" si="3"/>
        <v>8.2873595837255704E-2</v>
      </c>
      <c r="Z7" s="1">
        <f t="shared" ca="1" si="3"/>
        <v>6.6408683889182918E-2</v>
      </c>
      <c r="AA7" s="1">
        <f t="shared" ca="1" si="3"/>
        <v>5.0787778306880686E-2</v>
      </c>
      <c r="AB7" s="1">
        <f t="shared" ca="1" si="3"/>
        <v>3.6994389835301941E-2</v>
      </c>
      <c r="AC7" s="1">
        <f t="shared" ca="1" si="3"/>
        <v>2.6039044723011179E-2</v>
      </c>
      <c r="AD7" s="1">
        <f t="shared" ca="1" si="3"/>
        <v>1.8000995251484131E-2</v>
      </c>
      <c r="AE7" s="1">
        <f t="shared" ca="1" si="3"/>
        <v>1.2344823444743899E-2</v>
      </c>
      <c r="AF7" s="1">
        <f t="shared" ca="1" si="3"/>
        <v>8.4379326193451919E-3</v>
      </c>
      <c r="AG7" s="1">
        <f t="shared" ca="1" si="3"/>
        <v>5.7598793480245006E-3</v>
      </c>
      <c r="AH7" s="1">
        <f t="shared" ca="1" si="3"/>
        <v>3.9297497690801864E-3</v>
      </c>
      <c r="AI7" s="1">
        <f ca="1">AH7*EXP(-AH8)/(1-EXP(-AI8))</f>
        <v>8.4313661264434486E-3</v>
      </c>
    </row>
    <row r="8" spans="1:35">
      <c r="A8" s="5"/>
      <c r="B8" s="26"/>
      <c r="C8" s="26"/>
      <c r="E8" t="s">
        <v>111</v>
      </c>
      <c r="F8">
        <f ca="1">SUMXMY2(E4:E6,F4:F6)</f>
        <v>25667489.049496856</v>
      </c>
      <c r="J8" t="s">
        <v>11</v>
      </c>
      <c r="K8" s="1">
        <f ca="1">M+f1_*flt1_ +f2_*flt2_ +f3_*flt3_</f>
        <v>0.15050136249987983</v>
      </c>
      <c r="L8" s="1">
        <f t="shared" ref="L8:AI8" ca="1" si="4">M+f1_*flt1_ +f2_*flt2_ +f3_*flt3_</f>
        <v>0.15537939197927</v>
      </c>
      <c r="M8" s="1">
        <f t="shared" ca="1" si="4"/>
        <v>0.18066589056223165</v>
      </c>
      <c r="N8" s="1">
        <f t="shared" ca="1" si="4"/>
        <v>0.19094772576708297</v>
      </c>
      <c r="O8" s="1">
        <f t="shared" ca="1" si="4"/>
        <v>0.18291975997263887</v>
      </c>
      <c r="P8" s="1">
        <f t="shared" ca="1" si="4"/>
        <v>0.17583624443772441</v>
      </c>
      <c r="Q8" s="1">
        <f t="shared" ca="1" si="4"/>
        <v>0.18051810325034223</v>
      </c>
      <c r="R8" s="1">
        <f t="shared" ca="1" si="4"/>
        <v>0.18515217281308918</v>
      </c>
      <c r="S8" s="1">
        <f t="shared" ca="1" si="4"/>
        <v>0.18309344746862555</v>
      </c>
      <c r="T8" s="1">
        <f t="shared" ca="1" si="4"/>
        <v>0.17955367647617729</v>
      </c>
      <c r="U8" s="1">
        <f t="shared" ca="1" si="4"/>
        <v>0.1767707136853908</v>
      </c>
      <c r="V8" s="1">
        <f t="shared" ca="1" si="4"/>
        <v>0.17614602375120675</v>
      </c>
      <c r="W8" s="1">
        <f t="shared" ca="1" si="4"/>
        <v>0.17999780078833158</v>
      </c>
      <c r="X8" s="1">
        <f t="shared" ca="1" si="4"/>
        <v>0.19295646030785837</v>
      </c>
      <c r="Y8" s="1">
        <f t="shared" ca="1" si="4"/>
        <v>0.22148867582745108</v>
      </c>
      <c r="Z8" s="1">
        <f t="shared" ca="1" si="4"/>
        <v>0.26817208826571881</v>
      </c>
      <c r="AA8" s="1">
        <f t="shared" ca="1" si="4"/>
        <v>0.31688946605420887</v>
      </c>
      <c r="AB8" s="1">
        <f t="shared" ca="1" si="4"/>
        <v>0.3511691433916605</v>
      </c>
      <c r="AC8" s="1">
        <f t="shared" ca="1" si="4"/>
        <v>0.36917008356649761</v>
      </c>
      <c r="AD8" s="1">
        <f t="shared" ca="1" si="4"/>
        <v>0.37719022718422007</v>
      </c>
      <c r="AE8" s="1">
        <f t="shared" ca="1" si="4"/>
        <v>0.38049949264444394</v>
      </c>
      <c r="AF8" s="1">
        <f t="shared" ca="1" si="4"/>
        <v>0.38182080032319254</v>
      </c>
      <c r="AG8" s="1">
        <f t="shared" ca="1" si="4"/>
        <v>0.3823407761006461</v>
      </c>
      <c r="AH8" s="1">
        <f t="shared" ca="1" si="4"/>
        <v>0.38254358937807853</v>
      </c>
      <c r="AI8" s="1">
        <f t="shared" ca="1" si="4"/>
        <v>0.38262177261802066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0.86027655787990787</v>
      </c>
      <c r="L10" s="1">
        <f t="shared" ca="1" si="5"/>
        <v>0.85609032206201841</v>
      </c>
      <c r="M10" s="1">
        <f t="shared" ca="1" si="5"/>
        <v>0.83471419800316571</v>
      </c>
      <c r="N10" s="1">
        <f t="shared" ca="1" si="5"/>
        <v>0.82617577472728998</v>
      </c>
      <c r="O10" s="1">
        <f t="shared" ca="1" si="5"/>
        <v>0.83283497975763754</v>
      </c>
      <c r="P10" s="1">
        <f t="shared" ca="1" si="5"/>
        <v>0.8387553229412249</v>
      </c>
      <c r="Q10" s="1">
        <f t="shared" ca="1" si="5"/>
        <v>0.83483756728666736</v>
      </c>
      <c r="R10" s="1">
        <f t="shared" ca="1" si="5"/>
        <v>0.83097782199755355</v>
      </c>
      <c r="S10" s="1">
        <f t="shared" ca="1" si="5"/>
        <v>0.8326903392969166</v>
      </c>
      <c r="T10" s="1">
        <f t="shared" ca="1" si="5"/>
        <v>0.83564309536262282</v>
      </c>
      <c r="U10" s="1">
        <f t="shared" ca="1" si="5"/>
        <v>0.83797189798589355</v>
      </c>
      <c r="V10" s="1">
        <f t="shared" ca="1" si="5"/>
        <v>0.83849553413378131</v>
      </c>
      <c r="W10" s="1">
        <f t="shared" ca="1" si="5"/>
        <v>0.83527204834928714</v>
      </c>
      <c r="X10" s="1">
        <f t="shared" ca="1" si="5"/>
        <v>0.8245178726119371</v>
      </c>
      <c r="Y10" s="1">
        <f t="shared" ca="1" si="5"/>
        <v>0.80132499643908284</v>
      </c>
      <c r="Z10" s="1">
        <f t="shared" ca="1" si="5"/>
        <v>0.76477616077486099</v>
      </c>
      <c r="AA10" s="1">
        <f t="shared" ca="1" si="5"/>
        <v>0.72841126484735341</v>
      </c>
      <c r="AB10" s="1">
        <f t="shared" ca="1" si="5"/>
        <v>0.70386468972555916</v>
      </c>
      <c r="AC10" s="1">
        <f t="shared" ca="1" si="5"/>
        <v>0.69130782035088723</v>
      </c>
      <c r="AD10" s="1">
        <f t="shared" ca="1" si="5"/>
        <v>0.68578560642229514</v>
      </c>
      <c r="AE10" s="1">
        <f t="shared" ca="1" si="5"/>
        <v>0.68351991076371699</v>
      </c>
      <c r="AF10" s="1">
        <f t="shared" ca="1" si="5"/>
        <v>0.68261736705732123</v>
      </c>
      <c r="AG10" s="1">
        <f t="shared" ca="1" si="5"/>
        <v>0.68226251482645983</v>
      </c>
      <c r="AH10" s="1">
        <f t="shared" ca="1" si="5"/>
        <v>0.68212415696063899</v>
      </c>
      <c r="AI10" s="1">
        <f t="shared" ca="1" si="5"/>
        <v>0.68207082836873323</v>
      </c>
    </row>
    <row r="11" spans="1:35">
      <c r="A11" s="5">
        <v>1</v>
      </c>
      <c r="B11" s="25">
        <f>'Status Quo'!B11</f>
        <v>0.26028638242243257</v>
      </c>
      <c r="C11" s="18">
        <f ca="1">mpr1_/SUM(mpr1_,mpr2_,mpr3_)</f>
        <v>0.26028638242243268</v>
      </c>
      <c r="J11" t="s">
        <v>56</v>
      </c>
      <c r="K11" s="1">
        <f ca="1">1-sa</f>
        <v>0.13972344212009213</v>
      </c>
      <c r="L11" s="1">
        <f t="shared" ref="L11:AI11" ca="1" si="6">1-sa</f>
        <v>0.14390967793798159</v>
      </c>
      <c r="M11" s="1">
        <f t="shared" ca="1" si="6"/>
        <v>0.16528580199683429</v>
      </c>
      <c r="N11" s="1">
        <f t="shared" ca="1" si="6"/>
        <v>0.17382422527271002</v>
      </c>
      <c r="O11" s="1">
        <f t="shared" ca="1" si="6"/>
        <v>0.16716502024236246</v>
      </c>
      <c r="P11" s="1">
        <f t="shared" ca="1" si="6"/>
        <v>0.1612446770587751</v>
      </c>
      <c r="Q11" s="1">
        <f t="shared" ca="1" si="6"/>
        <v>0.16516243271333264</v>
      </c>
      <c r="R11" s="1">
        <f t="shared" ca="1" si="6"/>
        <v>0.16902217800244645</v>
      </c>
      <c r="S11" s="1">
        <f t="shared" ca="1" si="6"/>
        <v>0.1673096607030834</v>
      </c>
      <c r="T11" s="1">
        <f t="shared" ca="1" si="6"/>
        <v>0.16435690463737718</v>
      </c>
      <c r="U11" s="1">
        <f t="shared" ca="1" si="6"/>
        <v>0.16202810201410645</v>
      </c>
      <c r="V11" s="1">
        <f t="shared" ca="1" si="6"/>
        <v>0.16150446586621869</v>
      </c>
      <c r="W11" s="1">
        <f t="shared" ca="1" si="6"/>
        <v>0.16472795165071286</v>
      </c>
      <c r="X11" s="1">
        <f t="shared" ca="1" si="6"/>
        <v>0.1754821273880629</v>
      </c>
      <c r="Y11" s="1">
        <f t="shared" ca="1" si="6"/>
        <v>0.19867500356091716</v>
      </c>
      <c r="Z11" s="1">
        <f t="shared" ca="1" si="6"/>
        <v>0.23522383922513901</v>
      </c>
      <c r="AA11" s="1">
        <f t="shared" ca="1" si="6"/>
        <v>0.27158873515264659</v>
      </c>
      <c r="AB11" s="1">
        <f t="shared" ca="1" si="6"/>
        <v>0.29613531027444084</v>
      </c>
      <c r="AC11" s="1">
        <f t="shared" ca="1" si="6"/>
        <v>0.30869217964911277</v>
      </c>
      <c r="AD11" s="1">
        <f t="shared" ca="1" si="6"/>
        <v>0.31421439357770486</v>
      </c>
      <c r="AE11" s="1">
        <f t="shared" ca="1" si="6"/>
        <v>0.31648008923628301</v>
      </c>
      <c r="AF11" s="1">
        <f t="shared" ca="1" si="6"/>
        <v>0.31738263294267877</v>
      </c>
      <c r="AG11" s="1">
        <f t="shared" ca="1" si="6"/>
        <v>0.31773748517354017</v>
      </c>
      <c r="AH11" s="1">
        <f t="shared" ca="1" si="6"/>
        <v>0.31787584303936101</v>
      </c>
      <c r="AI11" s="1">
        <f t="shared" ca="1" si="6"/>
        <v>0.31792917163126677</v>
      </c>
    </row>
    <row r="12" spans="1:35">
      <c r="A12" s="5">
        <v>2</v>
      </c>
      <c r="B12" s="25">
        <f>'Status Quo'!B12</f>
        <v>0.55746237931999676</v>
      </c>
      <c r="C12" s="18">
        <f ca="1">mpr2_/SUM(mpr1_,mpr2_,mpr3_)</f>
        <v>0.55746237931999654</v>
      </c>
      <c r="J12" t="s">
        <v>100</v>
      </c>
      <c r="K12">
        <f>1/(1+EXP(($E18-len)/2.5))</f>
        <v>5.6126934388498569E-12</v>
      </c>
      <c r="L12">
        <f t="shared" ref="L12:AI12" si="7">1/(1+EXP(($E18-len)/2.5))</f>
        <v>1.2978976454834829E-9</v>
      </c>
      <c r="M12">
        <f t="shared" si="7"/>
        <v>1.99637952261423E-7</v>
      </c>
      <c r="N12">
        <f t="shared" si="7"/>
        <v>2.1058746277498515E-5</v>
      </c>
      <c r="O12">
        <f t="shared" si="7"/>
        <v>1.564676467664138E-3</v>
      </c>
      <c r="P12">
        <f t="shared" si="7"/>
        <v>7.7870643543285392E-2</v>
      </c>
      <c r="Q12">
        <f t="shared" si="7"/>
        <v>0.77146898694811417</v>
      </c>
      <c r="R12">
        <f>1/(1+EXP(($E18-len)/2.5))</f>
        <v>0.99032644321048724</v>
      </c>
      <c r="S12">
        <f t="shared" si="7"/>
        <v>0.99958428557508638</v>
      </c>
      <c r="T12">
        <f t="shared" si="7"/>
        <v>0.99997757111253649</v>
      </c>
      <c r="U12">
        <f t="shared" si="7"/>
        <v>0.99999849463304669</v>
      </c>
      <c r="V12">
        <f t="shared" si="7"/>
        <v>0.99999987630899723</v>
      </c>
      <c r="W12">
        <f t="shared" si="7"/>
        <v>0.99999998774476839</v>
      </c>
      <c r="X12">
        <f t="shared" si="7"/>
        <v>0.9999999985562078</v>
      </c>
      <c r="Y12">
        <f t="shared" si="7"/>
        <v>0.99999999980035637</v>
      </c>
      <c r="Z12">
        <f t="shared" si="7"/>
        <v>0.99999999996798428</v>
      </c>
      <c r="AA12">
        <f t="shared" si="7"/>
        <v>0.99999999999411138</v>
      </c>
      <c r="AB12">
        <f t="shared" si="7"/>
        <v>0.99999999999877054</v>
      </c>
      <c r="AC12">
        <f t="shared" si="7"/>
        <v>0.99999999999971134</v>
      </c>
      <c r="AD12">
        <f t="shared" si="7"/>
        <v>0.9999999999999245</v>
      </c>
      <c r="AE12">
        <f t="shared" si="7"/>
        <v>0.99999999999997824</v>
      </c>
      <c r="AF12">
        <f t="shared" si="7"/>
        <v>0.99999999999999312</v>
      </c>
      <c r="AG12">
        <f t="shared" si="7"/>
        <v>0.99999999999999756</v>
      </c>
      <c r="AH12">
        <f t="shared" si="7"/>
        <v>0.99999999999999911</v>
      </c>
      <c r="AI12">
        <f t="shared" si="7"/>
        <v>0.99999999999999956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0.18225123825757072</v>
      </c>
      <c r="J13" t="s">
        <v>101</v>
      </c>
      <c r="K13">
        <f>1/(1+EXP(($E19-len)/2.5))</f>
        <v>1.780212213170972E-32</v>
      </c>
      <c r="L13">
        <f t="shared" ref="L13:Q14" si="8">1/(1+EXP(($E19-len)/2.5))</f>
        <v>4.1166211340324113E-30</v>
      </c>
      <c r="M13">
        <f t="shared" si="8"/>
        <v>6.3320399670713315E-28</v>
      </c>
      <c r="N13">
        <f t="shared" si="8"/>
        <v>6.6794716679723202E-26</v>
      </c>
      <c r="O13">
        <f t="shared" si="8"/>
        <v>4.9705571051631045E-24</v>
      </c>
      <c r="P13">
        <f t="shared" si="8"/>
        <v>2.6784427606745092E-22</v>
      </c>
      <c r="Q13">
        <f t="shared" si="8"/>
        <v>1.0707147400765349E-20</v>
      </c>
      <c r="R13">
        <f>1/(1+EXP(($E19-len)/2.5))</f>
        <v>3.2470774237305647E-19</v>
      </c>
      <c r="S13">
        <f t="shared" ref="S13:AI13" si="9">1/(1+EXP(($E19-len)/2.5))</f>
        <v>7.6264913102733784E-18</v>
      </c>
      <c r="T13">
        <f t="shared" si="9"/>
        <v>1.4141093097190688E-16</v>
      </c>
      <c r="U13">
        <f t="shared" si="9"/>
        <v>2.1069654906178927E-15</v>
      </c>
      <c r="V13">
        <f t="shared" si="9"/>
        <v>2.5642613710579942E-14</v>
      </c>
      <c r="W13">
        <f t="shared" si="9"/>
        <v>2.5880873253271309E-13</v>
      </c>
      <c r="X13">
        <f t="shared" si="9"/>
        <v>2.1968263846960051E-12</v>
      </c>
      <c r="Y13">
        <f t="shared" si="9"/>
        <v>1.5887117618179969E-11</v>
      </c>
      <c r="Z13">
        <f t="shared" si="9"/>
        <v>9.9068954677535708E-11</v>
      </c>
      <c r="AA13">
        <f t="shared" si="9"/>
        <v>5.3863356368460146E-10</v>
      </c>
      <c r="AB13">
        <f t="shared" si="9"/>
        <v>2.5797156485912094E-9</v>
      </c>
      <c r="AC13">
        <f t="shared" si="9"/>
        <v>1.0987480026385197E-8</v>
      </c>
      <c r="AD13">
        <f t="shared" si="9"/>
        <v>4.198444838888185E-8</v>
      </c>
      <c r="AE13">
        <f t="shared" si="9"/>
        <v>1.4510196922743085E-7</v>
      </c>
      <c r="AF13">
        <f t="shared" si="9"/>
        <v>4.5700253478658503E-7</v>
      </c>
      <c r="AG13">
        <f t="shared" si="9"/>
        <v>1.3208259556624439E-6</v>
      </c>
      <c r="AH13">
        <f t="shared" si="9"/>
        <v>3.5257296435145709E-6</v>
      </c>
      <c r="AI13">
        <f t="shared" si="9"/>
        <v>8.7440746529709757E-6</v>
      </c>
    </row>
    <row r="14" spans="1:35">
      <c r="A14" s="27" t="s">
        <v>49</v>
      </c>
      <c r="B14" s="30">
        <v>0.4</v>
      </c>
      <c r="C14" s="29">
        <f ca="1">spr</f>
        <v>0.40000000000000946</v>
      </c>
      <c r="J14" t="s">
        <v>102</v>
      </c>
      <c r="K14">
        <f>1/(1+EXP(($E20-len)/2.5))</f>
        <v>5.6126934388498569E-12</v>
      </c>
      <c r="L14">
        <f t="shared" si="8"/>
        <v>1.2978976454834829E-9</v>
      </c>
      <c r="M14">
        <f t="shared" si="8"/>
        <v>1.99637952261423E-7</v>
      </c>
      <c r="N14">
        <f t="shared" si="8"/>
        <v>2.1058746277498515E-5</v>
      </c>
      <c r="O14">
        <f t="shared" si="8"/>
        <v>1.564676467664138E-3</v>
      </c>
      <c r="P14">
        <f t="shared" si="8"/>
        <v>7.7870643543285392E-2</v>
      </c>
      <c r="Q14">
        <f t="shared" si="8"/>
        <v>0.77146898694811417</v>
      </c>
      <c r="R14">
        <f>1/(1+EXP(($E20-len)/2.5))</f>
        <v>0.99032644321048724</v>
      </c>
      <c r="S14">
        <f t="shared" ref="S14:AI14" si="10">1/(1+EXP(($E20-len)/2.5))</f>
        <v>0.99958428557508638</v>
      </c>
      <c r="T14">
        <f t="shared" si="10"/>
        <v>0.99997757111253649</v>
      </c>
      <c r="U14">
        <f t="shared" si="10"/>
        <v>0.99999849463304669</v>
      </c>
      <c r="V14">
        <f t="shared" si="10"/>
        <v>0.99999987630899723</v>
      </c>
      <c r="W14">
        <f t="shared" si="10"/>
        <v>0.99999998774476839</v>
      </c>
      <c r="X14">
        <f t="shared" si="10"/>
        <v>0.9999999985562078</v>
      </c>
      <c r="Y14">
        <f t="shared" si="10"/>
        <v>0.99999999980035637</v>
      </c>
      <c r="Z14">
        <f t="shared" si="10"/>
        <v>0.99999999996798428</v>
      </c>
      <c r="AA14">
        <f t="shared" si="10"/>
        <v>0.99999999999411138</v>
      </c>
      <c r="AB14">
        <f t="shared" si="10"/>
        <v>0.99999999999877054</v>
      </c>
      <c r="AC14">
        <f t="shared" si="10"/>
        <v>0.99999999999971134</v>
      </c>
      <c r="AD14">
        <f t="shared" si="10"/>
        <v>0.9999999999999245</v>
      </c>
      <c r="AE14">
        <f t="shared" si="10"/>
        <v>0.99999999999997824</v>
      </c>
      <c r="AF14">
        <f t="shared" si="10"/>
        <v>0.99999999999999312</v>
      </c>
      <c r="AG14">
        <f t="shared" si="10"/>
        <v>0.99999999999999756</v>
      </c>
      <c r="AH14">
        <f t="shared" si="10"/>
        <v>0.99999999999999911</v>
      </c>
      <c r="AI14">
        <f t="shared" si="10"/>
        <v>0.99999999999999956</v>
      </c>
    </row>
    <row r="15" spans="1:35">
      <c r="A15" s="5"/>
      <c r="B15" s="26" t="s">
        <v>50</v>
      </c>
      <c r="C15" s="26">
        <f ca="1">CHOOSE(C25,SUMXMY2(B14,C14),SUMXMY2(B7,C7))</f>
        <v>8.9055000628465786E-29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1">((EXP(g*(ah-age)/gh)/(1+EXP((ah-age)/gh))) *(1/(1-g))*((1-g)/g)^g) *(sr+(1-sr)*dmr)</f>
        <v>2.8474655284082498E-7</v>
      </c>
      <c r="M18" s="4">
        <f t="shared" si="11"/>
        <v>7.2799064193298868E-7</v>
      </c>
      <c r="N18" s="4">
        <f t="shared" si="11"/>
        <v>1.8613941753055458E-6</v>
      </c>
      <c r="O18" s="4">
        <f t="shared" si="11"/>
        <v>4.7973732538525313E-6</v>
      </c>
      <c r="P18" s="4">
        <f t="shared" ref="P18:AI18" si="12">((EXP(g*(ah-age)/gh)/(1+EXP((ah-age)/gh))) *(1/(1-g))*((1-g)/g)^g) *(sr_1+(1-sr_1)*dmr)</f>
        <v>1.7137769583510798E-5</v>
      </c>
      <c r="Q18" s="4">
        <f t="shared" si="12"/>
        <v>1.5704525993082906E-4</v>
      </c>
      <c r="R18" s="4">
        <f t="shared" si="12"/>
        <v>4.9270679394694951E-4</v>
      </c>
      <c r="S18" s="4">
        <f t="shared" si="12"/>
        <v>1.268564977270979E-3</v>
      </c>
      <c r="T18" s="4">
        <f t="shared" si="12"/>
        <v>3.2379295167042068E-3</v>
      </c>
      <c r="U18" s="4">
        <f t="shared" si="12"/>
        <v>8.236827271567819E-3</v>
      </c>
      <c r="V18" s="4">
        <f t="shared" si="12"/>
        <v>2.079200621233079E-2</v>
      </c>
      <c r="W18" s="4">
        <f t="shared" si="12"/>
        <v>5.1491204378878774E-2</v>
      </c>
      <c r="X18" s="4">
        <f t="shared" si="12"/>
        <v>0.1218766197503028</v>
      </c>
      <c r="Y18" s="4">
        <f t="shared" si="12"/>
        <v>0.26191103363059803</v>
      </c>
      <c r="Z18" s="4">
        <f t="shared" si="12"/>
        <v>0.47569349278639222</v>
      </c>
      <c r="AA18" s="4">
        <f t="shared" si="12"/>
        <v>0.69879031204778541</v>
      </c>
      <c r="AB18" s="4">
        <f t="shared" si="12"/>
        <v>0.85577098971264853</v>
      </c>
      <c r="AC18" s="4">
        <f t="shared" si="12"/>
        <v>0.93820466490256382</v>
      </c>
      <c r="AD18" s="4">
        <f t="shared" si="12"/>
        <v>0.97493218621747679</v>
      </c>
      <c r="AE18" s="4">
        <f t="shared" si="12"/>
        <v>0.99008666767320841</v>
      </c>
      <c r="AF18" s="4">
        <f t="shared" si="12"/>
        <v>0.99613747651752416</v>
      </c>
      <c r="AG18" s="4">
        <f t="shared" si="12"/>
        <v>0.9985186584962934</v>
      </c>
      <c r="AH18" s="4">
        <f t="shared" si="12"/>
        <v>0.99944742353154647</v>
      </c>
      <c r="AI18" s="4">
        <f t="shared" si="12"/>
        <v>0.99980545659782449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v>0.1</v>
      </c>
      <c r="J19" s="8" t="s">
        <v>104</v>
      </c>
      <c r="K19" s="4">
        <f t="shared" si="11"/>
        <v>9.6213510225466176E-3</v>
      </c>
      <c r="L19" s="4">
        <f t="shared" si="11"/>
        <v>0.10330388675722919</v>
      </c>
      <c r="M19" s="4">
        <f t="shared" si="11"/>
        <v>0.58897214032810585</v>
      </c>
      <c r="N19" s="4">
        <f t="shared" si="11"/>
        <v>0.78617614100554356</v>
      </c>
      <c r="O19" s="4">
        <f t="shared" si="11"/>
        <v>0.63084986166996349</v>
      </c>
      <c r="P19" s="4">
        <f t="shared" ref="P19:Y19" si="13">((EXP(g*(ah-age)/gh)/(1+EXP((ah-age)/gh))) *(1/(1-g))*((1-g)/g)^g) *(sr_2+(1-sr_2)*dmr)</f>
        <v>0.48233532705520743</v>
      </c>
      <c r="Q19" s="4">
        <f t="shared" si="13"/>
        <v>0.36773482838724292</v>
      </c>
      <c r="R19" s="4">
        <f t="shared" si="13"/>
        <v>0.28030259284732501</v>
      </c>
      <c r="S19" s="4">
        <f t="shared" si="13"/>
        <v>0.21365511084308417</v>
      </c>
      <c r="T19" s="4">
        <f t="shared" si="13"/>
        <v>0.16285423164763396</v>
      </c>
      <c r="U19" s="4">
        <f t="shared" si="13"/>
        <v>0.12413229436421871</v>
      </c>
      <c r="V19" s="4">
        <f t="shared" si="13"/>
        <v>9.4617292314831319E-2</v>
      </c>
      <c r="W19" s="4">
        <f t="shared" si="13"/>
        <v>7.2120088075360356E-2</v>
      </c>
      <c r="X19" s="4">
        <f t="shared" si="13"/>
        <v>5.4972056129009919E-2</v>
      </c>
      <c r="Y19" s="4">
        <f t="shared" si="13"/>
        <v>4.1901320917669717E-2</v>
      </c>
      <c r="Z19" s="4">
        <f>Y19</f>
        <v>4.1901320917669717E-2</v>
      </c>
      <c r="AA19" s="4">
        <f t="shared" ref="AA19:AI20" si="14">Z19</f>
        <v>4.1901320917669717E-2</v>
      </c>
      <c r="AB19" s="4">
        <f t="shared" si="14"/>
        <v>4.1901320917669717E-2</v>
      </c>
      <c r="AC19" s="4">
        <f t="shared" si="14"/>
        <v>4.1901320917669717E-2</v>
      </c>
      <c r="AD19" s="4">
        <f t="shared" si="14"/>
        <v>4.1901320917669717E-2</v>
      </c>
      <c r="AE19" s="4">
        <f t="shared" si="14"/>
        <v>4.1901320917669717E-2</v>
      </c>
      <c r="AF19" s="4">
        <f t="shared" si="14"/>
        <v>4.1901320917669717E-2</v>
      </c>
      <c r="AG19" s="4">
        <f t="shared" si="14"/>
        <v>4.1901320917669717E-2</v>
      </c>
      <c r="AH19" s="4">
        <f t="shared" si="14"/>
        <v>4.1901320917669717E-2</v>
      </c>
      <c r="AI19" s="4">
        <f t="shared" si="14"/>
        <v>4.1901320917669717E-2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1"/>
        <v>2.2517159451801021E-5</v>
      </c>
      <c r="L20" s="4">
        <f t="shared" si="11"/>
        <v>8.0649597967121964E-5</v>
      </c>
      <c r="M20" s="4">
        <f t="shared" si="11"/>
        <v>2.8819851781693308E-4</v>
      </c>
      <c r="N20" s="4">
        <f t="shared" si="11"/>
        <v>1.0211086414450173E-3</v>
      </c>
      <c r="O20" s="4">
        <f t="shared" si="11"/>
        <v>3.6398974953330489E-3</v>
      </c>
      <c r="P20" s="4">
        <f t="shared" ref="P20:Y20" si="15">((EXP(g*(ah-age)/gh)/(1+EXP((ah-age)/gh))) *(1/(1-g))*((1-g)/g)^g) *(sr_3+(1-sr_3)*dmr)</f>
        <v>3.3247090371016599E-2</v>
      </c>
      <c r="Q20" s="4">
        <f t="shared" si="15"/>
        <v>0.52071142085930722</v>
      </c>
      <c r="R20" s="4">
        <f t="shared" si="15"/>
        <v>0.9390844473751867</v>
      </c>
      <c r="S20" s="4">
        <f t="shared" si="15"/>
        <v>0.99607472397654595</v>
      </c>
      <c r="T20" s="4">
        <f t="shared" si="15"/>
        <v>0.93522350057800274</v>
      </c>
      <c r="U20" s="4">
        <f t="shared" si="15"/>
        <v>0.8498760006410957</v>
      </c>
      <c r="V20" s="4">
        <f t="shared" si="15"/>
        <v>0.76585734156821039</v>
      </c>
      <c r="W20" s="4">
        <f t="shared" si="15"/>
        <v>0.6886827052361959</v>
      </c>
      <c r="X20" s="4">
        <f t="shared" si="15"/>
        <v>0.61895512421121124</v>
      </c>
      <c r="Y20" s="4">
        <f t="shared" si="15"/>
        <v>0.5562130005311563</v>
      </c>
      <c r="Z20" s="4">
        <f>Y20</f>
        <v>0.5562130005311563</v>
      </c>
      <c r="AA20" s="4">
        <f t="shared" si="14"/>
        <v>0.5562130005311563</v>
      </c>
      <c r="AB20" s="4">
        <f t="shared" si="14"/>
        <v>0.5562130005311563</v>
      </c>
      <c r="AC20" s="4">
        <f t="shared" si="14"/>
        <v>0.5562130005311563</v>
      </c>
      <c r="AD20" s="4">
        <f t="shared" si="14"/>
        <v>0.5562130005311563</v>
      </c>
      <c r="AE20" s="4">
        <f t="shared" si="14"/>
        <v>0.5562130005311563</v>
      </c>
      <c r="AF20" s="4">
        <f t="shared" si="14"/>
        <v>0.5562130005311563</v>
      </c>
      <c r="AG20" s="4">
        <f t="shared" si="14"/>
        <v>0.5562130005311563</v>
      </c>
      <c r="AH20" s="4">
        <f t="shared" si="14"/>
        <v>0.5562130005311563</v>
      </c>
      <c r="AI20" s="4">
        <f t="shared" si="14"/>
        <v>0.5562130005311563</v>
      </c>
    </row>
    <row r="21" spans="1:39">
      <c r="A21" t="s">
        <v>42</v>
      </c>
      <c r="B21" s="1">
        <f>Bo/phie</f>
        <v>10156.738776787859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6">wa*flt1_*(1-EXP(-za))/za</f>
        <v>7.254380677656944E-9</v>
      </c>
      <c r="L22" s="1">
        <f t="shared" ca="1" si="16"/>
        <v>1.2194402016124899E-7</v>
      </c>
      <c r="M22" s="1">
        <f t="shared" ca="1" si="16"/>
        <v>9.3353529951214246E-7</v>
      </c>
      <c r="N22" s="1">
        <f t="shared" ca="1" si="16"/>
        <v>5.1280176709223856E-6</v>
      </c>
      <c r="O22" s="1">
        <f t="shared" ca="1" si="16"/>
        <v>2.3669805562756593E-5</v>
      </c>
      <c r="P22" s="1">
        <f t="shared" ca="1" si="16"/>
        <v>1.3395338565037047E-4</v>
      </c>
      <c r="Q22" s="1">
        <f t="shared" ca="1" si="16"/>
        <v>1.7763420900033643E-3</v>
      </c>
      <c r="R22" s="1">
        <f t="shared" ca="1" si="16"/>
        <v>7.5790751353194668E-3</v>
      </c>
      <c r="S22" s="1">
        <f t="shared" ca="1" si="16"/>
        <v>2.5392202612689981E-2</v>
      </c>
      <c r="T22" s="1">
        <f t="shared" ca="1" si="16"/>
        <v>8.1313782009123897E-2</v>
      </c>
      <c r="U22" s="1">
        <f t="shared" ca="1" si="16"/>
        <v>0.2517728097422593</v>
      </c>
      <c r="V22" s="1">
        <f t="shared" ca="1" si="16"/>
        <v>0.75403577006682554</v>
      </c>
      <c r="W22" s="1">
        <f t="shared" ca="1" si="16"/>
        <v>2.1660567593976983</v>
      </c>
      <c r="X22" s="1">
        <f t="shared" ca="1" si="16"/>
        <v>5.819891982808004</v>
      </c>
      <c r="Y22" s="1">
        <f t="shared" ca="1" si="16"/>
        <v>13.886373638368349</v>
      </c>
      <c r="Z22" s="1">
        <f t="shared" ca="1" si="16"/>
        <v>27.415229079515633</v>
      </c>
      <c r="AA22" s="1">
        <f t="shared" ca="1" si="16"/>
        <v>43.267637901931984</v>
      </c>
      <c r="AB22" s="1">
        <f t="shared" ca="1" si="16"/>
        <v>56.784039223916068</v>
      </c>
      <c r="AC22" s="1">
        <f t="shared" ca="1" si="16"/>
        <v>66.672643302749435</v>
      </c>
      <c r="AD22" s="1">
        <f t="shared" ca="1" si="16"/>
        <v>74.002869408905156</v>
      </c>
      <c r="AE22" s="1">
        <f t="shared" ca="1" si="16"/>
        <v>79.927740942941725</v>
      </c>
      <c r="AF22" s="1">
        <f t="shared" ca="1" si="16"/>
        <v>85.109317863834605</v>
      </c>
      <c r="AG22" s="1">
        <f t="shared" ca="1" si="16"/>
        <v>89.858552065885391</v>
      </c>
      <c r="AH22" s="1">
        <f t="shared" ca="1" si="16"/>
        <v>94.30978096884553</v>
      </c>
      <c r="AI22" s="1">
        <f t="shared" ca="1" si="16"/>
        <v>98.518978644199436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7">wa*flt2_*(1-EXP(-za))/za</f>
        <v>6.2667956117463302E-4</v>
      </c>
      <c r="L23" s="1">
        <f t="shared" ca="1" si="17"/>
        <v>4.4240364365362134E-2</v>
      </c>
      <c r="M23" s="1">
        <f t="shared" ca="1" si="17"/>
        <v>0.75526559237847635</v>
      </c>
      <c r="N23" s="1">
        <f t="shared" ca="1" si="17"/>
        <v>2.1658631992185247</v>
      </c>
      <c r="O23" s="1">
        <f t="shared" ca="1" si="17"/>
        <v>3.1125561374714192</v>
      </c>
      <c r="P23" s="1">
        <f t="shared" ca="1" si="17"/>
        <v>3.7700617786336141</v>
      </c>
      <c r="Q23" s="1">
        <f t="shared" ca="1" si="17"/>
        <v>4.1594560314150018</v>
      </c>
      <c r="R23" s="1">
        <f t="shared" ca="1" si="17"/>
        <v>4.3117619604885702</v>
      </c>
      <c r="S23" s="1">
        <f t="shared" ca="1" si="17"/>
        <v>4.2766227674323174</v>
      </c>
      <c r="T23" s="1">
        <f t="shared" ca="1" si="17"/>
        <v>4.0897411210290997</v>
      </c>
      <c r="U23" s="1">
        <f t="shared" ca="1" si="17"/>
        <v>3.7943173386327147</v>
      </c>
      <c r="V23" s="1">
        <f t="shared" ca="1" si="17"/>
        <v>3.4313582895113033</v>
      </c>
      <c r="W23" s="1">
        <f t="shared" ca="1" si="17"/>
        <v>3.0338425008382615</v>
      </c>
      <c r="X23" s="1">
        <f t="shared" ca="1" si="17"/>
        <v>2.6250435021841145</v>
      </c>
      <c r="Y23" s="1">
        <f t="shared" ca="1" si="17"/>
        <v>2.2215841392333191</v>
      </c>
      <c r="Z23" s="1">
        <f t="shared" ca="1" si="17"/>
        <v>2.4148623622397309</v>
      </c>
      <c r="AA23" s="1">
        <f t="shared" ca="1" si="17"/>
        <v>2.5944423524784144</v>
      </c>
      <c r="AB23" s="1">
        <f t="shared" ca="1" si="17"/>
        <v>2.7803305780694716</v>
      </c>
      <c r="AC23" s="1">
        <f t="shared" ca="1" si="17"/>
        <v>2.9776784618183072</v>
      </c>
      <c r="AD23" s="1">
        <f t="shared" ca="1" si="17"/>
        <v>3.1805473485919391</v>
      </c>
      <c r="AE23" s="1">
        <f t="shared" ca="1" si="17"/>
        <v>3.3826108691526984</v>
      </c>
      <c r="AF23" s="1">
        <f t="shared" ca="1" si="17"/>
        <v>3.5800207551309375</v>
      </c>
      <c r="AG23" s="1">
        <f t="shared" ca="1" si="17"/>
        <v>3.7707778370210323</v>
      </c>
      <c r="AH23" s="1">
        <f t="shared" ca="1" si="17"/>
        <v>3.953889224194898</v>
      </c>
      <c r="AI23" s="1">
        <f t="shared" ca="1" si="17"/>
        <v>4.1288785867390834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8">wa*flt3_*(1-EXP(-za))/za</f>
        <v>1.4666384763518313E-6</v>
      </c>
      <c r="L24" s="1">
        <f t="shared" ca="1" si="18"/>
        <v>3.4538561055020118E-5</v>
      </c>
      <c r="M24" s="1">
        <f t="shared" ca="1" si="18"/>
        <v>3.6956998366738831E-4</v>
      </c>
      <c r="N24" s="1">
        <f t="shared" ca="1" si="18"/>
        <v>2.8130866781089356E-3</v>
      </c>
      <c r="O24" s="1">
        <f t="shared" ca="1" si="18"/>
        <v>1.7958924899935745E-2</v>
      </c>
      <c r="P24" s="1">
        <f t="shared" ca="1" si="18"/>
        <v>0.25986814074723719</v>
      </c>
      <c r="Q24" s="1">
        <f t="shared" ca="1" si="18"/>
        <v>5.8897773420556891</v>
      </c>
      <c r="R24" s="1">
        <f t="shared" ca="1" si="18"/>
        <v>14.445491055747125</v>
      </c>
      <c r="S24" s="1">
        <f t="shared" ca="1" si="18"/>
        <v>19.937907526820322</v>
      </c>
      <c r="T24" s="1">
        <f t="shared" ca="1" si="18"/>
        <v>23.486169005066866</v>
      </c>
      <c r="U24" s="1">
        <f t="shared" ca="1" si="18"/>
        <v>25.977923484268256</v>
      </c>
      <c r="V24" s="1">
        <f t="shared" ca="1" si="18"/>
        <v>27.774319823367414</v>
      </c>
      <c r="W24" s="1">
        <f t="shared" ca="1" si="18"/>
        <v>28.970497908358251</v>
      </c>
      <c r="X24" s="1">
        <f t="shared" ca="1" si="18"/>
        <v>29.556546386788114</v>
      </c>
      <c r="Y24" s="1">
        <f t="shared" ca="1" si="18"/>
        <v>29.490096086548643</v>
      </c>
      <c r="Z24" s="1">
        <f t="shared" ca="1" si="18"/>
        <v>32.0557397942245</v>
      </c>
      <c r="AA24" s="1">
        <f t="shared" ca="1" si="18"/>
        <v>34.439548299981965</v>
      </c>
      <c r="AB24" s="1">
        <f t="shared" ca="1" si="18"/>
        <v>36.907094559980983</v>
      </c>
      <c r="AC24" s="1">
        <f t="shared" ca="1" si="18"/>
        <v>39.526760388275306</v>
      </c>
      <c r="AD24" s="1">
        <f t="shared" ca="1" si="18"/>
        <v>42.219713969583367</v>
      </c>
      <c r="AE24" s="1">
        <f t="shared" ca="1" si="18"/>
        <v>44.901976834036262</v>
      </c>
      <c r="AF24" s="1">
        <f t="shared" ca="1" si="18"/>
        <v>47.522465701922215</v>
      </c>
      <c r="AG24" s="1">
        <f t="shared" ca="1" si="18"/>
        <v>50.054642887914319</v>
      </c>
      <c r="AH24" s="1">
        <f t="shared" ca="1" si="18"/>
        <v>52.485328409535875</v>
      </c>
      <c r="AI24" s="1">
        <f t="shared" ca="1" si="18"/>
        <v>54.808199294512946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F26" t="s">
        <v>143</v>
      </c>
      <c r="J26" s="8" t="s">
        <v>30</v>
      </c>
      <c r="K26">
        <f ca="1">qa1_/wa</f>
        <v>1.0339980388566224E-7</v>
      </c>
      <c r="L26">
        <f t="shared" ref="L26:AI26" ca="1" si="19">qa1_/wa</f>
        <v>2.6372728192127721E-7</v>
      </c>
      <c r="M26">
        <f t="shared" ca="1" si="19"/>
        <v>6.6601679333950933E-7</v>
      </c>
      <c r="N26">
        <f t="shared" ca="1" si="19"/>
        <v>1.6944710870465805E-6</v>
      </c>
      <c r="O26">
        <f t="shared" ca="1" si="19"/>
        <v>4.3841791461479214E-6</v>
      </c>
      <c r="P26">
        <f t="shared" ca="1" si="19"/>
        <v>1.5715611595535393E-5</v>
      </c>
      <c r="Q26">
        <f t="shared" ca="1" si="19"/>
        <v>1.4368629355861689E-4</v>
      </c>
      <c r="R26">
        <f t="shared" ca="1" si="19"/>
        <v>4.4978340877255263E-4</v>
      </c>
      <c r="S26">
        <f t="shared" ca="1" si="19"/>
        <v>1.1592068359704225E-3</v>
      </c>
      <c r="T26">
        <f t="shared" ca="1" si="19"/>
        <v>2.9638829081292009E-3</v>
      </c>
      <c r="U26">
        <f t="shared" ca="1" si="19"/>
        <v>7.5498789454763746E-3</v>
      </c>
      <c r="V26">
        <f t="shared" ca="1" si="19"/>
        <v>1.9063739198294447E-2</v>
      </c>
      <c r="W26">
        <f t="shared" ca="1" si="19"/>
        <v>4.7123023660357789E-2</v>
      </c>
      <c r="X26">
        <f t="shared" ca="1" si="19"/>
        <v>0.11083934934609764</v>
      </c>
      <c r="Y26">
        <f t="shared" ca="1" si="19"/>
        <v>0.23493379670453279</v>
      </c>
      <c r="Z26">
        <f t="shared" ca="1" si="19"/>
        <v>0.41724867935085147</v>
      </c>
      <c r="AA26">
        <f t="shared" ca="1" si="19"/>
        <v>0.59889519001403424</v>
      </c>
      <c r="AB26">
        <f t="shared" ca="1" si="19"/>
        <v>0.72165795979339664</v>
      </c>
      <c r="AC26">
        <f t="shared" ca="1" si="19"/>
        <v>0.78450680555638808</v>
      </c>
      <c r="AD26">
        <f t="shared" ca="1" si="19"/>
        <v>0.81215711223105158</v>
      </c>
      <c r="AE26">
        <f t="shared" ca="1" si="19"/>
        <v>0.82350363927994197</v>
      </c>
      <c r="AF26">
        <f t="shared" ca="1" si="19"/>
        <v>0.82802386565215036</v>
      </c>
      <c r="AG26">
        <f t="shared" ca="1" si="19"/>
        <v>0.82980112842045661</v>
      </c>
      <c r="AH26">
        <f t="shared" ca="1" si="19"/>
        <v>0.83049409570582478</v>
      </c>
      <c r="AI26">
        <f t="shared" ca="1" si="19"/>
        <v>0.83076119383802127</v>
      </c>
      <c r="AM26" s="44"/>
    </row>
    <row r="27" spans="1:39">
      <c r="A27" t="s">
        <v>14</v>
      </c>
      <c r="B27" s="28">
        <f ca="1">fbar*C27</f>
        <v>0.21836876899356403</v>
      </c>
      <c r="C27" s="36">
        <f ca="1">CHOOSE(C$25,E36,E39,1)</f>
        <v>2.241944178517604</v>
      </c>
      <c r="E27" s="42">
        <f ca="1">f1_/(F4/(f1_*365*re*phib))</f>
        <v>410.40735291014357</v>
      </c>
      <c r="F27" s="109">
        <f ca="1">F4/E27</f>
        <v>69.001890626526119</v>
      </c>
      <c r="J27" s="8" t="s">
        <v>31</v>
      </c>
      <c r="K27">
        <f t="shared" ref="K27:AI27" ca="1" si="20">qa2_/wa</f>
        <v>8.9323329728457097E-3</v>
      </c>
      <c r="L27">
        <f t="shared" ca="1" si="20"/>
        <v>9.567825490627474E-2</v>
      </c>
      <c r="M27">
        <f t="shared" ca="1" si="20"/>
        <v>0.53883293777798391</v>
      </c>
      <c r="N27">
        <f t="shared" ca="1" si="20"/>
        <v>0.71567471196211185</v>
      </c>
      <c r="O27">
        <f t="shared" ca="1" si="20"/>
        <v>0.57651524314117353</v>
      </c>
      <c r="P27">
        <f t="shared" ca="1" si="20"/>
        <v>0.44230928779078116</v>
      </c>
      <c r="Q27">
        <f t="shared" ca="1" si="20"/>
        <v>0.3364536728243171</v>
      </c>
      <c r="R27">
        <f t="shared" ca="1" si="20"/>
        <v>0.25588333111605011</v>
      </c>
      <c r="S27">
        <f t="shared" ca="1" si="20"/>
        <v>0.19523671981085797</v>
      </c>
      <c r="T27">
        <f t="shared" ca="1" si="20"/>
        <v>0.14907084024121764</v>
      </c>
      <c r="U27">
        <f t="shared" ca="1" si="20"/>
        <v>0.11377970725561964</v>
      </c>
      <c r="V27">
        <f t="shared" ca="1" si="20"/>
        <v>8.675254162193384E-2</v>
      </c>
      <c r="W27">
        <f t="shared" ca="1" si="20"/>
        <v>6.6001886298008877E-2</v>
      </c>
      <c r="X27">
        <f t="shared" ca="1" si="20"/>
        <v>4.9993730922632366E-2</v>
      </c>
      <c r="Y27">
        <f t="shared" ca="1" si="20"/>
        <v>3.7585420796007137E-2</v>
      </c>
      <c r="Z27">
        <f t="shared" ca="1" si="20"/>
        <v>3.675322677538638E-2</v>
      </c>
      <c r="AA27">
        <f t="shared" ca="1" si="20"/>
        <v>3.5911344390691539E-2</v>
      </c>
      <c r="AB27">
        <f t="shared" ca="1" si="20"/>
        <v>3.5334712358323091E-2</v>
      </c>
      <c r="AC27">
        <f t="shared" ca="1" si="20"/>
        <v>3.5036994220368753E-2</v>
      </c>
      <c r="AD27">
        <f t="shared" ca="1" si="20"/>
        <v>3.4905459350144045E-2</v>
      </c>
      <c r="AE27">
        <f t="shared" ca="1" si="20"/>
        <v>3.4851383614153374E-2</v>
      </c>
      <c r="AF27">
        <f t="shared" ca="1" si="20"/>
        <v>3.4829824738121691E-2</v>
      </c>
      <c r="AG27">
        <f t="shared" ca="1" si="20"/>
        <v>3.4821345684367171E-2</v>
      </c>
      <c r="AH27">
        <f t="shared" ca="1" si="20"/>
        <v>3.4818039253568876E-2</v>
      </c>
      <c r="AI27">
        <f t="shared" ca="1" si="20"/>
        <v>3.4816764760822655E-2</v>
      </c>
    </row>
    <row r="28" spans="1:39">
      <c r="A28" t="s">
        <v>15</v>
      </c>
      <c r="B28" s="28">
        <f ca="1">fbar*C28</f>
        <v>5.2055865720950119E-2</v>
      </c>
      <c r="C28" s="36">
        <f ca="1">CHOOSE(C$25,E37,E40,1)</f>
        <v>0.53444613736966118</v>
      </c>
      <c r="E28" s="42">
        <f ca="1">f2_/(F5/(f2_*365*re*phib))</f>
        <v>116.88693173039053</v>
      </c>
      <c r="F28" s="109">
        <f t="shared" ref="F28:F29" ca="1" si="21">F5/E28</f>
        <v>48.341223103093945</v>
      </c>
      <c r="J28" s="8" t="s">
        <v>32</v>
      </c>
      <c r="K28">
        <f t="shared" ref="K28:AI28" ca="1" si="22">qa3_/wa</f>
        <v>2.0904628191489744E-5</v>
      </c>
      <c r="L28">
        <f t="shared" ca="1" si="22"/>
        <v>7.4696248462760556E-5</v>
      </c>
      <c r="M28">
        <f t="shared" ca="1" si="22"/>
        <v>2.6366417591848897E-4</v>
      </c>
      <c r="N28">
        <f t="shared" ca="1" si="22"/>
        <v>9.2953931661356951E-4</v>
      </c>
      <c r="O28">
        <f t="shared" ca="1" si="22"/>
        <v>3.3263958939071833E-3</v>
      </c>
      <c r="P28">
        <f t="shared" ca="1" si="22"/>
        <v>3.0488119028936309E-2</v>
      </c>
      <c r="Q28">
        <f t="shared" ca="1" si="22"/>
        <v>0.47641739782448173</v>
      </c>
      <c r="R28">
        <f t="shared" ca="1" si="22"/>
        <v>0.85727375602451938</v>
      </c>
      <c r="S28">
        <f t="shared" ca="1" si="22"/>
        <v>0.91020692661320168</v>
      </c>
      <c r="T28">
        <f t="shared" ca="1" si="22"/>
        <v>0.85606957604973777</v>
      </c>
      <c r="U28">
        <f t="shared" ca="1" si="22"/>
        <v>0.7789966587807966</v>
      </c>
      <c r="V28">
        <f t="shared" ca="1" si="22"/>
        <v>0.702197973281521</v>
      </c>
      <c r="W28">
        <f t="shared" ca="1" si="22"/>
        <v>0.63025931913599442</v>
      </c>
      <c r="X28">
        <f t="shared" ca="1" si="22"/>
        <v>0.56290191984778326</v>
      </c>
      <c r="Y28">
        <f t="shared" ca="1" si="22"/>
        <v>0.49892221102646522</v>
      </c>
      <c r="Z28">
        <f t="shared" ca="1" si="22"/>
        <v>0.48787537233269107</v>
      </c>
      <c r="AA28">
        <f t="shared" ca="1" si="22"/>
        <v>0.47669992685674739</v>
      </c>
      <c r="AB28">
        <f t="shared" ca="1" si="22"/>
        <v>0.46904550866892403</v>
      </c>
      <c r="AC28">
        <f t="shared" ca="1" si="22"/>
        <v>0.4650934924747448</v>
      </c>
      <c r="AD28">
        <f t="shared" ca="1" si="22"/>
        <v>0.46334745193855464</v>
      </c>
      <c r="AE28">
        <f t="shared" ca="1" si="22"/>
        <v>0.46262963143283831</v>
      </c>
      <c r="AF28">
        <f t="shared" ca="1" si="22"/>
        <v>0.46234345126326287</v>
      </c>
      <c r="AG28">
        <f t="shared" ca="1" si="22"/>
        <v>0.46223089729534056</v>
      </c>
      <c r="AH28">
        <f t="shared" ca="1" si="22"/>
        <v>0.46218700655979594</v>
      </c>
      <c r="AI28">
        <f t="shared" ca="1" si="22"/>
        <v>0.46217008849089014</v>
      </c>
    </row>
    <row r="29" spans="1:39">
      <c r="A29" t="s">
        <v>19</v>
      </c>
      <c r="B29" s="28">
        <f ca="1">fbar*C29</f>
        <v>2.1779922944836303E-2</v>
      </c>
      <c r="C29" s="36">
        <f ca="1">CHOOSE(C$25,E38,E41,1)</f>
        <v>0.22360968411273519</v>
      </c>
      <c r="E29" s="42">
        <f ca="1">f3_/(F6/(f3_*365*re*phib))</f>
        <v>14.242766185033664</v>
      </c>
      <c r="F29" s="109">
        <f t="shared" ca="1" si="21"/>
        <v>569.94663388556603</v>
      </c>
    </row>
    <row r="30" spans="1:39">
      <c r="A30" t="s">
        <v>95</v>
      </c>
      <c r="B30" s="28">
        <v>9.7401519219783489E-2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0.29220455765935049</v>
      </c>
      <c r="G31">
        <f ca="1">SUMPRODUCT(dlz1_,wa,ma)</f>
        <v>-48.908000969907022</v>
      </c>
      <c r="H31">
        <f ca="1">Ro/(reck-1)*phie/phif^2*dphif</f>
        <v>-2866.6575153140802</v>
      </c>
      <c r="J31" s="8" t="s">
        <v>52</v>
      </c>
      <c r="K31">
        <v>0</v>
      </c>
      <c r="L31">
        <f t="shared" ref="L31:AH31" ca="1" si="23">K31*sa-K$7*K18*K$10</f>
        <v>-9.5813997379791577E-8</v>
      </c>
      <c r="M31">
        <f t="shared" ca="1" si="23"/>
        <v>-2.896858607437455E-7</v>
      </c>
      <c r="N31">
        <f t="shared" ca="1" si="23"/>
        <v>-6.8686053373756582E-7</v>
      </c>
      <c r="O31">
        <f t="shared" ca="1" si="23"/>
        <v>-1.5174212032928807E-6</v>
      </c>
      <c r="P31">
        <f t="shared" ca="1" si="23"/>
        <v>-3.301971028213018E-6</v>
      </c>
      <c r="Q31">
        <f t="shared" ca="1" si="23"/>
        <v>-8.8367900645923397E-6</v>
      </c>
      <c r="R31">
        <f t="shared" ca="1" si="23"/>
        <v>-5.3857745086844696E-5</v>
      </c>
      <c r="S31">
        <f t="shared" ca="1" si="23"/>
        <v>-1.6611368835836812E-4</v>
      </c>
      <c r="T31">
        <f t="shared" ca="1" si="23"/>
        <v>-3.9879768373617813E-4</v>
      </c>
      <c r="U31">
        <f t="shared" ca="1" si="23"/>
        <v>-8.8871163075844399E-4</v>
      </c>
      <c r="V31">
        <f t="shared" ca="1" si="23"/>
        <v>-1.927262083950506E-3</v>
      </c>
      <c r="W31">
        <f t="shared" ca="1" si="23"/>
        <v>-4.1117723144987696E-3</v>
      </c>
      <c r="X31">
        <f t="shared" ca="1" si="23"/>
        <v>-8.5656921772276524E-3</v>
      </c>
      <c r="Y31">
        <f t="shared" ca="1" si="23"/>
        <v>-1.696425698061272E-2</v>
      </c>
      <c r="Z31">
        <f t="shared" ca="1" si="23"/>
        <v>-3.036702636349467E-2</v>
      </c>
      <c r="AA31">
        <f t="shared" ca="1" si="23"/>
        <v>-4.6279099736747112E-2</v>
      </c>
      <c r="AB31">
        <f t="shared" ca="1" si="23"/>
        <v>-5.8425545394011777E-2</v>
      </c>
      <c r="AC31">
        <f t="shared" ca="1" si="23"/>
        <v>-6.2673495512929292E-2</v>
      </c>
      <c r="AD31">
        <f t="shared" ca="1" si="23"/>
        <v>-5.9869198844770516E-2</v>
      </c>
      <c r="AE31">
        <f t="shared" ca="1" si="23"/>
        <v>-5.2957155161325702E-2</v>
      </c>
      <c r="AF31">
        <f t="shared" ca="1" si="23"/>
        <v>-4.450375841220873E-2</v>
      </c>
      <c r="AG31">
        <f t="shared" ca="1" si="23"/>
        <v>-3.6100877812329277E-2</v>
      </c>
      <c r="AH31">
        <f t="shared" ca="1" si="23"/>
        <v>-2.8549209310922211E-2</v>
      </c>
      <c r="AI31">
        <f ca="1">(AH31*sa-AH$7*AH18*AH$10)/oa-AH$7*AH$10*flt1_*sa/oa^2</f>
        <v>-8.7759637863094792E-2</v>
      </c>
    </row>
    <row r="32" spans="1:39">
      <c r="A32" s="12" t="s">
        <v>22</v>
      </c>
      <c r="B32" s="12"/>
      <c r="C32" s="12"/>
      <c r="G32">
        <f ca="1">SUMPRODUCT(dlz2_,wa,ma)</f>
        <v>-143.86099326632805</v>
      </c>
      <c r="H32">
        <f ca="1">Ro/(reck-1)*phie/phif^2*dphif</f>
        <v>-8432.1622092306843</v>
      </c>
      <c r="J32" s="8" t="s">
        <v>53</v>
      </c>
      <c r="K32">
        <v>0</v>
      </c>
      <c r="L32">
        <f t="shared" ref="L32:AH32" ca="1" si="24">K32*sa-K$7*K19*K$10</f>
        <v>-8.2770227398307368E-3</v>
      </c>
      <c r="M32">
        <f t="shared" ca="1" si="24"/>
        <v>-8.2989620082392357E-2</v>
      </c>
      <c r="N32">
        <f t="shared" ca="1" si="24"/>
        <v>-0.43063208537358677</v>
      </c>
      <c r="O32">
        <f t="shared" ca="1" si="24"/>
        <v>-0.75793487497593737</v>
      </c>
      <c r="P32">
        <f t="shared" ca="1" si="24"/>
        <v>-0.90256312187845511</v>
      </c>
      <c r="Q32">
        <f t="shared" ca="1" si="24"/>
        <v>-0.92461773041619599</v>
      </c>
      <c r="R32">
        <f t="shared" ca="1" si="24"/>
        <v>-0.87725464475302084</v>
      </c>
      <c r="S32">
        <f t="shared" ca="1" si="24"/>
        <v>-0.79947060476733545</v>
      </c>
      <c r="T32">
        <f t="shared" ca="1" si="24"/>
        <v>-0.71185961692084476</v>
      </c>
      <c r="U32">
        <f t="shared" ca="1" si="24"/>
        <v>-0.62440889925151066</v>
      </c>
      <c r="V32">
        <f t="shared" ca="1" si="24"/>
        <v>-0.54137851409478965</v>
      </c>
      <c r="W32">
        <f t="shared" ca="1" si="24"/>
        <v>-0.46358401260414694</v>
      </c>
      <c r="X32">
        <f t="shared" ca="1" si="24"/>
        <v>-0.38948220800216182</v>
      </c>
      <c r="Y32">
        <f t="shared" ca="1" si="24"/>
        <v>-0.31665756090239694</v>
      </c>
      <c r="Z32">
        <f t="shared" ca="1" si="24"/>
        <v>-0.24495476528262761</v>
      </c>
      <c r="AA32">
        <f t="shared" ca="1" si="24"/>
        <v>-0.18055588540743742</v>
      </c>
      <c r="AB32">
        <f t="shared" ca="1" si="24"/>
        <v>-0.12863702606107194</v>
      </c>
      <c r="AC32">
        <f t="shared" ca="1" si="24"/>
        <v>-9.0018852472028357E-2</v>
      </c>
      <c r="AD32">
        <f t="shared" ca="1" si="24"/>
        <v>-6.2487898810838972E-2</v>
      </c>
      <c r="AE32">
        <f t="shared" ca="1" si="24"/>
        <v>-4.322898742782702E-2</v>
      </c>
      <c r="AF32">
        <f t="shared" ca="1" si="24"/>
        <v>-2.9862418101102177E-2</v>
      </c>
      <c r="AG32">
        <f t="shared" ca="1" si="24"/>
        <v>-2.0615355025465798E-2</v>
      </c>
      <c r="AH32">
        <f t="shared" ca="1" si="24"/>
        <v>-1.4226893373390496E-2</v>
      </c>
      <c r="AI32">
        <f ca="1">(AH32*sa-AH$7*AH19*AH$10)/oa-AH$7*AH$10*flt2_*sa/oa^2</f>
        <v>-3.1632939734780582E-2</v>
      </c>
    </row>
    <row r="33" spans="1:35">
      <c r="A33" s="59" t="s">
        <v>130</v>
      </c>
      <c r="B33" s="60">
        <f ca="1">SUMPRODUCT(lz*wa)</f>
        <v>76.125846918588934</v>
      </c>
      <c r="C33" s="58"/>
      <c r="G33">
        <f ca="1">SUMPRODUCT(dlz3_,wa,ma)</f>
        <v>-235.20602918290172</v>
      </c>
      <c r="H33">
        <f ca="1">Ro/(reck-1)*phie/phif^2*dphif</f>
        <v>-13786.192807577962</v>
      </c>
      <c r="J33" s="8" t="s">
        <v>54</v>
      </c>
      <c r="K33">
        <v>0</v>
      </c>
      <c r="L33">
        <f t="shared" ref="L33:AH33" ca="1" si="25">K33*sa-K$7*K20*K$10</f>
        <v>-1.9370984426428415E-5</v>
      </c>
      <c r="M33">
        <f t="shared" ca="1" si="25"/>
        <v>-7.5565602865999878E-5</v>
      </c>
      <c r="N33">
        <f t="shared" ca="1" si="25"/>
        <v>-2.3959926077808934E-4</v>
      </c>
      <c r="O33">
        <f t="shared" ca="1" si="25"/>
        <v>-7.1815544906438827E-4</v>
      </c>
      <c r="P33">
        <f t="shared" ca="1" si="25"/>
        <v>-2.1419855694016022E-3</v>
      </c>
      <c r="Q33">
        <f t="shared" ca="1" si="25"/>
        <v>-1.3583695603237854E-2</v>
      </c>
      <c r="R33">
        <f t="shared" ca="1" si="25"/>
        <v>-0.16551505393013743</v>
      </c>
      <c r="S33">
        <f t="shared" ca="1" si="25"/>
        <v>-0.36895381134110672</v>
      </c>
      <c r="T33">
        <f t="shared" ca="1" si="25"/>
        <v>-0.51245414326786132</v>
      </c>
      <c r="U33">
        <f t="shared" ca="1" si="25"/>
        <v>-0.58958929001175375</v>
      </c>
      <c r="V33">
        <f t="shared" ca="1" si="25"/>
        <v>-0.61633516374307362</v>
      </c>
      <c r="W33">
        <f t="shared" ca="1" si="25"/>
        <v>-0.60696617115753748</v>
      </c>
      <c r="X33">
        <f t="shared" ca="1" si="25"/>
        <v>-0.56967504445116002</v>
      </c>
      <c r="Y33">
        <f t="shared" ca="1" si="25"/>
        <v>-0.50778988977153849</v>
      </c>
      <c r="Z33">
        <f t="shared" ca="1" si="25"/>
        <v>-0.42528297570709456</v>
      </c>
      <c r="AA33">
        <f t="shared" ca="1" si="25"/>
        <v>-0.3380297328152323</v>
      </c>
      <c r="AB33">
        <f t="shared" ca="1" si="25"/>
        <v>-0.25850395357911976</v>
      </c>
      <c r="AC33">
        <f t="shared" ca="1" si="25"/>
        <v>-0.19318905989721924</v>
      </c>
      <c r="AD33">
        <f t="shared" ca="1" si="25"/>
        <v>-0.14249866417714269</v>
      </c>
      <c r="AE33">
        <f t="shared" ca="1" si="25"/>
        <v>-0.10426702551153781</v>
      </c>
      <c r="AF33">
        <f t="shared" ca="1" si="25"/>
        <v>-7.5867770246070193E-2</v>
      </c>
      <c r="AG33">
        <f t="shared" ca="1" si="25"/>
        <v>-5.4965455497222059E-2</v>
      </c>
      <c r="AH33">
        <f t="shared" ca="1" si="25"/>
        <v>-3.9679042903396827E-2</v>
      </c>
      <c r="AI33">
        <f ca="1">(AH33*sa-AH$7*AH20*AH$10)/oa-AH$7*AH$10*flt3_*sa/oa^2</f>
        <v>-9.9876186104092116E-2</v>
      </c>
    </row>
    <row r="34" spans="1:35">
      <c r="A34" t="s">
        <v>28</v>
      </c>
      <c r="B34" s="1">
        <f>SUMPRODUCT(lx,wa,ma)</f>
        <v>98.456800157683801</v>
      </c>
      <c r="G34" t="s">
        <v>57</v>
      </c>
      <c r="J34" s="8"/>
    </row>
    <row r="35" spans="1:35">
      <c r="A35" t="s">
        <v>27</v>
      </c>
      <c r="B35" s="1">
        <f ca="1">SUMPRODUCT(lz,wa,ma)</f>
        <v>39.382720063074444</v>
      </c>
      <c r="F35" s="37"/>
      <c r="G35" s="1">
        <f ca="1">SUM(dqa11_)</f>
        <v>672.30091274106678</v>
      </c>
      <c r="H35" s="1">
        <f ca="1">SUM(dqa12_)</f>
        <v>677.13869965304843</v>
      </c>
      <c r="I35" s="11">
        <f ca="1">SUM(dqa13_)</f>
        <v>673.50040129736055</v>
      </c>
      <c r="J35" s="8" t="s">
        <v>62</v>
      </c>
      <c r="K35">
        <f ca="1">flt1_*qa1_+lz*wa*flt1_^2/za*(sa-oa/za)</f>
        <v>4.1411072237852578E-16</v>
      </c>
      <c r="L35">
        <f t="shared" ref="L35:AI35" ca="1" si="26">flt1_*qa1_+lz*wa*flt1_^2/za*(sa-oa/za)</f>
        <v>2.0174017085449559E-14</v>
      </c>
      <c r="M35">
        <f t="shared" ca="1" si="26"/>
        <v>4.3688047452163003E-13</v>
      </c>
      <c r="N35">
        <f t="shared" ca="1" si="26"/>
        <v>6.7046232157418044E-12</v>
      </c>
      <c r="O35">
        <f t="shared" ca="1" si="26"/>
        <v>8.5595442498983366E-11</v>
      </c>
      <c r="P35">
        <f t="shared" ca="1" si="26"/>
        <v>1.82436602582995E-9</v>
      </c>
      <c r="Q35">
        <f t="shared" ca="1" si="26"/>
        <v>2.3096800973135256E-7</v>
      </c>
      <c r="R35">
        <f t="shared" ca="1" si="26"/>
        <v>3.19829989671825E-6</v>
      </c>
      <c r="S35">
        <f t="shared" ca="1" si="26"/>
        <v>2.8368528168626832E-5</v>
      </c>
      <c r="T35">
        <f t="shared" ca="1" si="26"/>
        <v>2.3711545123505739E-4</v>
      </c>
      <c r="U35">
        <f t="shared" ca="1" si="26"/>
        <v>1.9014571790404652E-3</v>
      </c>
      <c r="V35">
        <f t="shared" ca="1" si="26"/>
        <v>1.4585943742197835E-2</v>
      </c>
      <c r="W35">
        <f t="shared" ca="1" si="26"/>
        <v>0.10502348277855166</v>
      </c>
      <c r="X35">
        <f t="shared" ca="1" si="26"/>
        <v>0.67480756090005478</v>
      </c>
      <c r="Y35">
        <f t="shared" ca="1" si="26"/>
        <v>3.4918477814358795</v>
      </c>
      <c r="Z35">
        <f t="shared" ca="1" si="26"/>
        <v>12.62755117135185</v>
      </c>
      <c r="AA35">
        <f t="shared" ca="1" si="26"/>
        <v>29.507704554448047</v>
      </c>
      <c r="AB35">
        <f t="shared" ca="1" si="26"/>
        <v>47.74777884329071</v>
      </c>
      <c r="AC35">
        <f t="shared" ca="1" si="26"/>
        <v>61.788175717715738</v>
      </c>
      <c r="AD35">
        <f t="shared" ca="1" si="26"/>
        <v>71.539139284470878</v>
      </c>
      <c r="AE35">
        <f t="shared" ca="1" si="26"/>
        <v>78.677836206444084</v>
      </c>
      <c r="AF35">
        <f t="shared" ca="1" si="26"/>
        <v>84.445601612889661</v>
      </c>
      <c r="AG35">
        <f t="shared" ca="1" si="26"/>
        <v>89.483463415160728</v>
      </c>
      <c r="AH35">
        <f t="shared" ca="1" si="26"/>
        <v>94.084242513290917</v>
      </c>
      <c r="AI35">
        <f t="shared" ca="1" si="26"/>
        <v>98.110984280804018</v>
      </c>
    </row>
    <row r="36" spans="1:35">
      <c r="A36" t="s">
        <v>33</v>
      </c>
      <c r="B36" s="1">
        <f ca="1">SUMPRODUCT(lz,ta1_)</f>
        <v>0.19346817787537934</v>
      </c>
      <c r="C36" s="29">
        <f ca="1">B11/(phi_t1/SUM(B$36:B$38))</f>
        <v>4.4260594322820079</v>
      </c>
      <c r="E36" s="38">
        <f ca="1">C36/AVERAGE(C$36:C$38)</f>
        <v>2.241944178517604</v>
      </c>
      <c r="G36" s="1">
        <f ca="1">SUM(dqa21_)</f>
        <v>677.13869965304843</v>
      </c>
      <c r="H36" s="1">
        <f ca="1">SUM(dqa22_)</f>
        <v>10.642048096462771</v>
      </c>
      <c r="I36" s="11">
        <f ca="1">SUM(dqa23_)</f>
        <v>674.69575811292623</v>
      </c>
      <c r="J36" s="8" t="s">
        <v>63</v>
      </c>
      <c r="K36">
        <f t="shared" ref="K36:AI36" ca="1" si="27">flt2_*qa2_+lz*wa*flt2_^2/za*(sa-oa/za)</f>
        <v>3.0903442004874159E-6</v>
      </c>
      <c r="L36">
        <f t="shared" ca="1" si="27"/>
        <v>2.6552704224237699E-3</v>
      </c>
      <c r="M36">
        <f t="shared" ca="1" si="27"/>
        <v>0.2859568776235803</v>
      </c>
      <c r="N36">
        <f t="shared" ca="1" si="27"/>
        <v>1.1960171156038089</v>
      </c>
      <c r="O36">
        <f t="shared" ca="1" si="27"/>
        <v>1.4801156364217667</v>
      </c>
      <c r="P36">
        <f t="shared" ca="1" si="27"/>
        <v>1.4451120426444226</v>
      </c>
      <c r="Q36">
        <f t="shared" ca="1" si="27"/>
        <v>1.2664023123324002</v>
      </c>
      <c r="R36">
        <f t="shared" ca="1" si="27"/>
        <v>1.0351333777221667</v>
      </c>
      <c r="S36">
        <f t="shared" ca="1" si="27"/>
        <v>0.80470730134324042</v>
      </c>
      <c r="T36">
        <f t="shared" ca="1" si="27"/>
        <v>0.59982307530987788</v>
      </c>
      <c r="U36">
        <f t="shared" ca="1" si="27"/>
        <v>0.43185325479578374</v>
      </c>
      <c r="V36">
        <f t="shared" ca="1" si="27"/>
        <v>0.30205273522831172</v>
      </c>
      <c r="W36">
        <f t="shared" ca="1" si="27"/>
        <v>0.20603111501595112</v>
      </c>
      <c r="X36">
        <f t="shared" ca="1" si="27"/>
        <v>0.13728500422508935</v>
      </c>
      <c r="Y36">
        <f t="shared" ca="1" si="27"/>
        <v>8.9372342792611248E-2</v>
      </c>
      <c r="Z36">
        <f t="shared" ca="1" si="27"/>
        <v>9.7976099112677892E-2</v>
      </c>
      <c r="AA36">
        <f t="shared" ca="1" si="27"/>
        <v>0.10609553422186214</v>
      </c>
      <c r="AB36">
        <f t="shared" ca="1" si="27"/>
        <v>0.11447047418381158</v>
      </c>
      <c r="AC36">
        <f t="shared" ca="1" si="27"/>
        <v>0.12324395454871943</v>
      </c>
      <c r="AD36">
        <f t="shared" ca="1" si="27"/>
        <v>0.13214487430535371</v>
      </c>
      <c r="AE36">
        <f t="shared" ca="1" si="27"/>
        <v>0.1409163581789821</v>
      </c>
      <c r="AF36">
        <f t="shared" ca="1" si="27"/>
        <v>0.14941489829618082</v>
      </c>
      <c r="AG36">
        <f t="shared" ca="1" si="27"/>
        <v>0.15757446596216501</v>
      </c>
      <c r="AH36">
        <f t="shared" ca="1" si="27"/>
        <v>0.16536835845395281</v>
      </c>
      <c r="AI36">
        <f t="shared" ca="1" si="27"/>
        <v>0.17232252737343082</v>
      </c>
    </row>
    <row r="37" spans="1:35">
      <c r="A37" t="s">
        <v>34</v>
      </c>
      <c r="B37" s="1">
        <f ca="1">SUMPRODUCT(lz,ta2_)</f>
        <v>1.7381790473272229</v>
      </c>
      <c r="C37" s="29">
        <f ca="1">B12/(phi_t2/SUM(B$36:B$38))</f>
        <v>1.0551067194348078</v>
      </c>
      <c r="E37" s="38">
        <f ca="1">C37/AVERAGE(C$36:C$38)</f>
        <v>0.53444613736966107</v>
      </c>
      <c r="G37" s="1">
        <f ca="1">SUM(dqa31_)</f>
        <v>673.50040129736055</v>
      </c>
      <c r="H37" s="1">
        <f ca="1">SUM(dqa32_)</f>
        <v>674.69575811292623</v>
      </c>
      <c r="I37" s="1">
        <f ca="1">SUM(dqa33_)</f>
        <v>382.96883108344019</v>
      </c>
      <c r="J37" s="8" t="s">
        <v>64</v>
      </c>
      <c r="K37">
        <f t="shared" ref="K37:AI37" ca="1" si="28">flt3_*qa3_+lz*wa*flt3_^2/za*(sa-oa/za)</f>
        <v>1.6926296366646289E-11</v>
      </c>
      <c r="L37">
        <f t="shared" ca="1" si="28"/>
        <v>1.6183775582669795E-9</v>
      </c>
      <c r="M37">
        <f t="shared" ca="1" si="28"/>
        <v>6.8469085584255355E-8</v>
      </c>
      <c r="N37">
        <f t="shared" ca="1" si="28"/>
        <v>2.0176302402617979E-6</v>
      </c>
      <c r="O37">
        <f t="shared" ca="1" si="28"/>
        <v>4.927446632651541E-5</v>
      </c>
      <c r="P37">
        <f t="shared" ca="1" si="28"/>
        <v>6.8661085457159144E-3</v>
      </c>
      <c r="Q37">
        <f t="shared" ca="1" si="28"/>
        <v>2.5391968643407847</v>
      </c>
      <c r="R37">
        <f t="shared" ca="1" si="28"/>
        <v>11.618535211525414</v>
      </c>
      <c r="S37">
        <f t="shared" ca="1" si="28"/>
        <v>17.490217461748909</v>
      </c>
      <c r="T37">
        <f t="shared" ca="1" si="28"/>
        <v>19.781348586450456</v>
      </c>
      <c r="U37">
        <f t="shared" ca="1" si="28"/>
        <v>20.243134605422853</v>
      </c>
      <c r="V37">
        <f t="shared" ca="1" si="28"/>
        <v>19.789622117650261</v>
      </c>
      <c r="W37">
        <f t="shared" ca="1" si="28"/>
        <v>18.787053389765333</v>
      </c>
      <c r="X37">
        <f t="shared" ca="1" si="28"/>
        <v>17.404336215227442</v>
      </c>
      <c r="Y37">
        <f t="shared" ca="1" si="28"/>
        <v>15.748166054558357</v>
      </c>
      <c r="Z37">
        <f t="shared" ca="1" si="28"/>
        <v>17.264221010572857</v>
      </c>
      <c r="AA37">
        <f t="shared" ca="1" si="28"/>
        <v>18.694934454723683</v>
      </c>
      <c r="AB37">
        <f t="shared" ca="1" si="28"/>
        <v>20.170670024549658</v>
      </c>
      <c r="AC37">
        <f t="shared" ca="1" si="28"/>
        <v>21.71663179914016</v>
      </c>
      <c r="AD37">
        <f t="shared" ca="1" si="28"/>
        <v>23.28504947720246</v>
      </c>
      <c r="AE37">
        <f t="shared" ca="1" si="28"/>
        <v>24.830659453068513</v>
      </c>
      <c r="AF37">
        <f t="shared" ca="1" si="28"/>
        <v>26.328174420283144</v>
      </c>
      <c r="AG37">
        <f t="shared" ca="1" si="28"/>
        <v>27.76595956188455</v>
      </c>
      <c r="AH37">
        <f t="shared" ca="1" si="28"/>
        <v>29.139309631232823</v>
      </c>
      <c r="AI37">
        <f t="shared" ca="1" si="28"/>
        <v>30.364693273345903</v>
      </c>
    </row>
    <row r="38" spans="1:35">
      <c r="A38" t="s">
        <v>35</v>
      </c>
      <c r="B38" s="1">
        <f ca="1">SUMPRODUCT(lz,ta3_)</f>
        <v>1.3581970054571426</v>
      </c>
      <c r="C38" s="29">
        <f ca="1">B13/(phi_t3/SUM(B$36:B$38))</f>
        <v>0.44145155842871064</v>
      </c>
      <c r="E38" s="38">
        <f ca="1">C38/AVERAGE(C$36:C$38)</f>
        <v>0.2236096841127351</v>
      </c>
      <c r="G38" t="s">
        <v>69</v>
      </c>
      <c r="J38" s="8" t="s">
        <v>60</v>
      </c>
      <c r="K38">
        <f t="shared" ref="K38:AI38" ca="1" si="29">flt1_*qa1_+lz*wa*flt2_*flt1_/za*(sa-oa/za)</f>
        <v>-3.4022615881915955E-11</v>
      </c>
      <c r="L38">
        <f t="shared" ca="1" si="29"/>
        <v>-5.2782763467818387E-9</v>
      </c>
      <c r="M38">
        <f t="shared" ca="1" si="29"/>
        <v>-1.9637267005295814E-7</v>
      </c>
      <c r="N38">
        <f t="shared" ca="1" si="29"/>
        <v>-1.1997592316855077E-6</v>
      </c>
      <c r="O38">
        <f t="shared" ca="1" si="29"/>
        <v>-3.676263560067294E-6</v>
      </c>
      <c r="P38">
        <f t="shared" ca="1" si="29"/>
        <v>-1.3262138853321532E-5</v>
      </c>
      <c r="Q38">
        <f t="shared" ca="1" si="29"/>
        <v>-1.121126554341563E-4</v>
      </c>
      <c r="R38">
        <f t="shared" ca="1" si="29"/>
        <v>-3.0117631804702389E-4</v>
      </c>
      <c r="S38">
        <f t="shared" ca="1" si="29"/>
        <v>-6.1505871630951727E-4</v>
      </c>
      <c r="T38">
        <f t="shared" ca="1" si="29"/>
        <v>-1.0530956227413693E-3</v>
      </c>
      <c r="U38">
        <f t="shared" ca="1" si="29"/>
        <v>-5.2360419488568441E-4</v>
      </c>
      <c r="V38">
        <f t="shared" ca="1" si="29"/>
        <v>1.0708723131400887E-2</v>
      </c>
      <c r="W38">
        <f t="shared" ca="1" si="29"/>
        <v>0.10241563119985167</v>
      </c>
      <c r="X38">
        <f t="shared" ca="1" si="29"/>
        <v>0.6937471066516675</v>
      </c>
      <c r="Y38">
        <f t="shared" ca="1" si="29"/>
        <v>3.6137734654013638</v>
      </c>
      <c r="Z38">
        <f t="shared" ca="1" si="29"/>
        <v>13.004805882761381</v>
      </c>
      <c r="AA38">
        <f t="shared" ca="1" si="29"/>
        <v>30.191395255485862</v>
      </c>
      <c r="AB38">
        <f t="shared" ca="1" si="29"/>
        <v>48.552693182411744</v>
      </c>
      <c r="AC38">
        <f t="shared" ca="1" si="29"/>
        <v>62.518445554197115</v>
      </c>
      <c r="AD38">
        <f t="shared" ca="1" si="29"/>
        <v>72.121620702457292</v>
      </c>
      <c r="AE38">
        <f t="shared" ca="1" si="29"/>
        <v>79.116026585051401</v>
      </c>
      <c r="AF38">
        <f t="shared" ca="1" si="29"/>
        <v>84.766490616048188</v>
      </c>
      <c r="AG38">
        <f t="shared" ca="1" si="29"/>
        <v>89.715286646677669</v>
      </c>
      <c r="AH38">
        <f t="shared" ca="1" si="29"/>
        <v>94.250396845142532</v>
      </c>
      <c r="AI38">
        <f t="shared" ca="1" si="29"/>
        <v>98.48351684378494</v>
      </c>
    </row>
    <row r="39" spans="1:35">
      <c r="A39" s="1" t="s">
        <v>36</v>
      </c>
      <c r="B39" s="1">
        <f ca="1">SUMPRODUCT(lz,qa1_)</f>
        <v>14.784287336107253</v>
      </c>
      <c r="C39" s="23">
        <f ca="1">B4/(phi_q1/SUM(B$39:B$41))</f>
        <v>2.8439095592072348</v>
      </c>
      <c r="D39" s="21"/>
      <c r="E39" s="39">
        <f ca="1">C39/AVERAGE(C$39:C$41)</f>
        <v>1.942703876537879</v>
      </c>
      <c r="G39" s="1">
        <f ca="1">re*phi_q1+f1_*phi_q1*$H31+f1_*re*G35</f>
        <v>1408202.3072231815</v>
      </c>
      <c r="H39" s="1">
        <f ca="1">re*phi_q1+f1_*phi_q1*$H32+f1_*re*H35</f>
        <v>1399501.1273672362</v>
      </c>
      <c r="I39" s="1">
        <f ca="1">re*phi_q1+f1_*phi_q1*$H33+f1_*re*I35</f>
        <v>1375246.9750674386</v>
      </c>
      <c r="J39" s="8" t="s">
        <v>66</v>
      </c>
      <c r="K39">
        <f t="shared" ref="K39:AI39" ca="1" si="30">flt1_*qa1_+lz*wa*flt3_*flt1_/za*(sa-oa/za)</f>
        <v>-7.8818158391161832E-14</v>
      </c>
      <c r="L39">
        <f t="shared" ca="1" si="30"/>
        <v>-4.0860672693576211E-12</v>
      </c>
      <c r="M39">
        <f t="shared" ca="1" si="30"/>
        <v>-9.5410692753364432E-11</v>
      </c>
      <c r="N39">
        <f t="shared" ca="1" si="30"/>
        <v>-1.5487496312214979E-9</v>
      </c>
      <c r="O39">
        <f t="shared" ca="1" si="30"/>
        <v>-2.1098524114492381E-8</v>
      </c>
      <c r="P39">
        <f t="shared" ca="1" si="30"/>
        <v>-9.1201400639568075E-7</v>
      </c>
      <c r="Q39">
        <f t="shared" ca="1" si="30"/>
        <v>-1.5886723497972752E-4</v>
      </c>
      <c r="R39">
        <f t="shared" ca="1" si="30"/>
        <v>-1.017793154243927E-3</v>
      </c>
      <c r="S39">
        <f t="shared" ca="1" si="30"/>
        <v>-2.9854070528853582E-3</v>
      </c>
      <c r="T39">
        <f t="shared" ca="1" si="30"/>
        <v>-7.2963137067915554E-3</v>
      </c>
      <c r="U39">
        <f t="shared" ca="1" si="30"/>
        <v>-1.5709470161973729E-2</v>
      </c>
      <c r="V39">
        <f t="shared" ca="1" si="30"/>
        <v>-2.4544045820203746E-2</v>
      </c>
      <c r="W39">
        <f t="shared" ca="1" si="30"/>
        <v>2.4471336288512571E-2</v>
      </c>
      <c r="X39">
        <f t="shared" ca="1" si="30"/>
        <v>0.53409307794385197</v>
      </c>
      <c r="Y39">
        <f t="shared" ca="1" si="30"/>
        <v>3.3287505792066376</v>
      </c>
      <c r="Z39">
        <f t="shared" ca="1" si="30"/>
        <v>12.557526017310387</v>
      </c>
      <c r="AA39">
        <f t="shared" ca="1" si="30"/>
        <v>29.656099158984176</v>
      </c>
      <c r="AB39">
        <f t="shared" ca="1" si="30"/>
        <v>48.044040677507297</v>
      </c>
      <c r="AC39">
        <f t="shared" ca="1" si="30"/>
        <v>62.099406276153175</v>
      </c>
      <c r="AD39">
        <f t="shared" ca="1" si="30"/>
        <v>71.800541296009172</v>
      </c>
      <c r="AE39">
        <f t="shared" ca="1" si="30"/>
        <v>78.878344753768999</v>
      </c>
      <c r="AF39">
        <f t="shared" ca="1" si="30"/>
        <v>84.593538709735</v>
      </c>
      <c r="AG39">
        <f t="shared" ca="1" si="30"/>
        <v>89.590650189767217</v>
      </c>
      <c r="AH39">
        <f t="shared" ca="1" si="30"/>
        <v>94.161152981837802</v>
      </c>
      <c r="AI39">
        <f t="shared" ca="1" si="30"/>
        <v>98.283499074740234</v>
      </c>
    </row>
    <row r="40" spans="1:35">
      <c r="A40" s="1" t="s">
        <v>37</v>
      </c>
      <c r="B40" s="1">
        <f ca="1">SUMPRODUCT(lz,qa2_)</f>
        <v>12.374530106524574</v>
      </c>
      <c r="C40" s="23">
        <f ca="1">B5/(phi_q2/SUM(B$39:B$41))</f>
        <v>1.2671558834815908</v>
      </c>
      <c r="D40" s="21"/>
      <c r="E40" s="39">
        <f ca="1">C40/AVERAGE(C$39:C$41)</f>
        <v>0.86560721983848554</v>
      </c>
      <c r="G40" s="1">
        <f ca="1">re*phi_q1+f1_*phi_q1*$H32+f1_*re*G36</f>
        <v>1399501.1273672362</v>
      </c>
      <c r="H40" s="1">
        <f ca="1">re*phi_q2+f2_*phi_q2*$H32+f2_*re*H36</f>
        <v>107973.67570326178</v>
      </c>
      <c r="I40" s="1">
        <f ca="1">re*phi_q3+f3_*phi_q3*$H33+f3_*re*I36</f>
        <v>488851.83283712377</v>
      </c>
      <c r="J40" s="8" t="s">
        <v>65</v>
      </c>
      <c r="K40">
        <f t="shared" ref="K40:AI40" ca="1" si="31">flt1_*qa1_+lz*wa*flt1_*flt2_/za*(sa-oa/za)</f>
        <v>-3.4022615881915955E-11</v>
      </c>
      <c r="L40">
        <f t="shared" ca="1" si="31"/>
        <v>-5.2782763467818387E-9</v>
      </c>
      <c r="M40">
        <f t="shared" ca="1" si="31"/>
        <v>-1.9637267005295809E-7</v>
      </c>
      <c r="N40">
        <f t="shared" ca="1" si="31"/>
        <v>-1.1997592316855077E-6</v>
      </c>
      <c r="O40">
        <f t="shared" ca="1" si="31"/>
        <v>-3.6762635600672953E-6</v>
      </c>
      <c r="P40">
        <f t="shared" ca="1" si="31"/>
        <v>-1.3262138853321532E-5</v>
      </c>
      <c r="Q40">
        <f t="shared" ca="1" si="31"/>
        <v>-1.121126554341563E-4</v>
      </c>
      <c r="R40">
        <f t="shared" ca="1" si="31"/>
        <v>-3.0117631804702389E-4</v>
      </c>
      <c r="S40">
        <f t="shared" ca="1" si="31"/>
        <v>-6.1505871630951727E-4</v>
      </c>
      <c r="T40">
        <f t="shared" ca="1" si="31"/>
        <v>-1.0530956227413693E-3</v>
      </c>
      <c r="U40">
        <f t="shared" ca="1" si="31"/>
        <v>-5.2360419488568441E-4</v>
      </c>
      <c r="V40">
        <f t="shared" ca="1" si="31"/>
        <v>1.0708723131400887E-2</v>
      </c>
      <c r="W40">
        <f t="shared" ca="1" si="31"/>
        <v>0.10241563119985167</v>
      </c>
      <c r="X40">
        <f t="shared" ca="1" si="31"/>
        <v>0.6937471066516675</v>
      </c>
      <c r="Y40">
        <f t="shared" ca="1" si="31"/>
        <v>3.6137734654013638</v>
      </c>
      <c r="Z40">
        <f t="shared" ca="1" si="31"/>
        <v>13.004805882761381</v>
      </c>
      <c r="AA40">
        <f t="shared" ca="1" si="31"/>
        <v>30.191395255485862</v>
      </c>
      <c r="AB40">
        <f t="shared" ca="1" si="31"/>
        <v>48.552693182411744</v>
      </c>
      <c r="AC40">
        <f t="shared" ca="1" si="31"/>
        <v>62.518445554197115</v>
      </c>
      <c r="AD40">
        <f t="shared" ca="1" si="31"/>
        <v>72.121620702457292</v>
      </c>
      <c r="AE40">
        <f t="shared" ca="1" si="31"/>
        <v>79.116026585051401</v>
      </c>
      <c r="AF40">
        <f t="shared" ca="1" si="31"/>
        <v>84.766490616048188</v>
      </c>
      <c r="AG40">
        <f t="shared" ca="1" si="31"/>
        <v>89.715286646677669</v>
      </c>
      <c r="AH40">
        <f t="shared" ca="1" si="31"/>
        <v>94.250396845142532</v>
      </c>
      <c r="AI40">
        <f t="shared" ca="1" si="31"/>
        <v>98.48351684378494</v>
      </c>
    </row>
    <row r="41" spans="1:35">
      <c r="A41" s="1" t="s">
        <v>38</v>
      </c>
      <c r="B41" s="1">
        <f ca="1">SUMPRODUCT(lz,qa3_)</f>
        <v>42.490025907672646</v>
      </c>
      <c r="C41" s="23">
        <f ca="1">B6/(phi_q3/SUM(B$39:B$41))</f>
        <v>0.28061194091027564</v>
      </c>
      <c r="D41" s="21"/>
      <c r="E41" s="39">
        <f ca="1">C41/AVERAGE(C$39:C$41)</f>
        <v>0.1916889036236353</v>
      </c>
      <c r="G41" s="1">
        <f ca="1">re*phi_q1+f1_*phi_q1*$H33+f1_*re*G37</f>
        <v>1375246.9750674386</v>
      </c>
      <c r="H41" s="1">
        <f ca="1">re*phi_q3+f3_*phi_q3*$H33+f3_*re*H37</f>
        <v>488851.83283712366</v>
      </c>
      <c r="I41" s="1">
        <f ca="1">re*phi_q3+f1_*phi_q3*$H33+f3_*re*I37</f>
        <v>317961.14241157728</v>
      </c>
      <c r="J41" s="8" t="s">
        <v>67</v>
      </c>
      <c r="K41">
        <f t="shared" ref="K41:AI41" ca="1" si="32">flt1_*qa1_+lz*wa*flt3_*flt2_/za*(sa-oa/za)</f>
        <v>-6.8786101617041116E-9</v>
      </c>
      <c r="L41">
        <f t="shared" ca="1" si="32"/>
        <v>-1.4949914286942281E-6</v>
      </c>
      <c r="M41">
        <f t="shared" ca="1" si="32"/>
        <v>-7.7740707854624279E-5</v>
      </c>
      <c r="N41">
        <f t="shared" ca="1" si="32"/>
        <v>-6.5815949376152663E-4</v>
      </c>
      <c r="O41">
        <f t="shared" ca="1" si="32"/>
        <v>-2.7893671374973846E-3</v>
      </c>
      <c r="P41">
        <f t="shared" ca="1" si="32"/>
        <v>-2.573285931803488E-2</v>
      </c>
      <c r="Q41">
        <f t="shared" ca="1" si="32"/>
        <v>-0.37265408175922299</v>
      </c>
      <c r="R41">
        <f t="shared" ca="1" si="32"/>
        <v>-0.58114673271481498</v>
      </c>
      <c r="S41">
        <f t="shared" ca="1" si="32"/>
        <v>-0.50820321333452101</v>
      </c>
      <c r="T41">
        <f t="shared" ca="1" si="32"/>
        <v>-0.37995288663829174</v>
      </c>
      <c r="U41">
        <f t="shared" ca="1" si="32"/>
        <v>-0.26592735064318729</v>
      </c>
      <c r="V41">
        <f t="shared" ca="1" si="32"/>
        <v>-0.16735844474518136</v>
      </c>
      <c r="W41">
        <f t="shared" ca="1" si="32"/>
        <v>-1.0408063052363609E-2</v>
      </c>
      <c r="X41">
        <f t="shared" ca="1" si="32"/>
        <v>0.6302782931000529</v>
      </c>
      <c r="Y41">
        <f t="shared" ca="1" si="32"/>
        <v>3.5876806807002035</v>
      </c>
      <c r="Z41">
        <f t="shared" ca="1" si="32"/>
        <v>12.998637737734605</v>
      </c>
      <c r="AA41">
        <f t="shared" ca="1" si="32"/>
        <v>30.200293389647022</v>
      </c>
      <c r="AB41">
        <f t="shared" ca="1" si="32"/>
        <v>48.567199121898355</v>
      </c>
      <c r="AC41">
        <f t="shared" ca="1" si="32"/>
        <v>62.532345476033278</v>
      </c>
      <c r="AD41">
        <f t="shared" ca="1" si="32"/>
        <v>72.132855421885822</v>
      </c>
      <c r="AE41">
        <f t="shared" ca="1" si="32"/>
        <v>79.12451227954918</v>
      </c>
      <c r="AF41">
        <f t="shared" ca="1" si="32"/>
        <v>84.772713411512342</v>
      </c>
      <c r="AG41">
        <f t="shared" ca="1" si="32"/>
        <v>89.719784577089584</v>
      </c>
      <c r="AH41">
        <f t="shared" ca="1" si="32"/>
        <v>94.253621277112273</v>
      </c>
      <c r="AI41">
        <f t="shared" ca="1" si="32"/>
        <v>98.490746848078331</v>
      </c>
    </row>
    <row r="42" spans="1:35">
      <c r="A42" s="1" t="s">
        <v>96</v>
      </c>
      <c r="B42" s="1">
        <f ca="1">SUMPRODUCT(lz/SUM(lz),len,ta1_)</f>
        <v>4.7012855733634318</v>
      </c>
      <c r="J42" s="8" t="s">
        <v>68</v>
      </c>
      <c r="K42">
        <f t="shared" ref="K42:AI42" ca="1" si="33">flt1_*qa1_+lz*wa*flt1_*flt3_/za*(sa-oa/za)</f>
        <v>-7.8818158391161832E-14</v>
      </c>
      <c r="L42">
        <f t="shared" ca="1" si="33"/>
        <v>-4.0860672693576211E-12</v>
      </c>
      <c r="M42">
        <f t="shared" ca="1" si="33"/>
        <v>-9.5410692753364432E-11</v>
      </c>
      <c r="N42">
        <f t="shared" ca="1" si="33"/>
        <v>-1.5487496312214979E-9</v>
      </c>
      <c r="O42">
        <f t="shared" ca="1" si="33"/>
        <v>-2.1098524114492381E-8</v>
      </c>
      <c r="P42">
        <f t="shared" ca="1" si="33"/>
        <v>-9.1201400639568075E-7</v>
      </c>
      <c r="Q42">
        <f t="shared" ca="1" si="33"/>
        <v>-1.5886723497972752E-4</v>
      </c>
      <c r="R42">
        <f t="shared" ca="1" si="33"/>
        <v>-1.017793154243927E-3</v>
      </c>
      <c r="S42">
        <f t="shared" ca="1" si="33"/>
        <v>-2.9854070528853582E-3</v>
      </c>
      <c r="T42">
        <f t="shared" ca="1" si="33"/>
        <v>-7.2963137067915546E-3</v>
      </c>
      <c r="U42">
        <f t="shared" ca="1" si="33"/>
        <v>-1.5709470161973726E-2</v>
      </c>
      <c r="V42">
        <f t="shared" ca="1" si="33"/>
        <v>-2.4544045820203746E-2</v>
      </c>
      <c r="W42">
        <f t="shared" ca="1" si="33"/>
        <v>2.4471336288512571E-2</v>
      </c>
      <c r="X42">
        <f t="shared" ca="1" si="33"/>
        <v>0.53409307794385197</v>
      </c>
      <c r="Y42">
        <f t="shared" ca="1" si="33"/>
        <v>3.3287505792066376</v>
      </c>
      <c r="Z42">
        <f t="shared" ca="1" si="33"/>
        <v>12.557526017310387</v>
      </c>
      <c r="AA42">
        <f t="shared" ca="1" si="33"/>
        <v>29.656099158984176</v>
      </c>
      <c r="AB42">
        <f t="shared" ca="1" si="33"/>
        <v>48.044040677507297</v>
      </c>
      <c r="AC42">
        <f t="shared" ca="1" si="33"/>
        <v>62.099406276153175</v>
      </c>
      <c r="AD42">
        <f t="shared" ca="1" si="33"/>
        <v>71.800541296009172</v>
      </c>
      <c r="AE42">
        <f t="shared" ca="1" si="33"/>
        <v>78.878344753768999</v>
      </c>
      <c r="AF42">
        <f t="shared" ca="1" si="33"/>
        <v>84.593538709735</v>
      </c>
      <c r="AG42">
        <f t="shared" ca="1" si="33"/>
        <v>89.590650189767217</v>
      </c>
      <c r="AH42">
        <f t="shared" ca="1" si="33"/>
        <v>94.161152981837802</v>
      </c>
      <c r="AI42">
        <f t="shared" ca="1" si="33"/>
        <v>98.283499074740234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-6.8786101617041116E-9</v>
      </c>
      <c r="L43">
        <f t="shared" ca="1" si="34"/>
        <v>-1.4949914286942281E-6</v>
      </c>
      <c r="M43">
        <f t="shared" ca="1" si="34"/>
        <v>-7.7740707854624279E-5</v>
      </c>
      <c r="N43">
        <f t="shared" ca="1" si="34"/>
        <v>-6.5815949376152663E-4</v>
      </c>
      <c r="O43">
        <f t="shared" ca="1" si="34"/>
        <v>-2.7893671374973846E-3</v>
      </c>
      <c r="P43">
        <f t="shared" ca="1" si="34"/>
        <v>-2.5732859318034877E-2</v>
      </c>
      <c r="Q43">
        <f t="shared" ca="1" si="34"/>
        <v>-0.37265408175922293</v>
      </c>
      <c r="R43">
        <f t="shared" ca="1" si="34"/>
        <v>-0.58114673271481498</v>
      </c>
      <c r="S43">
        <f t="shared" ca="1" si="34"/>
        <v>-0.50820321333452101</v>
      </c>
      <c r="T43">
        <f t="shared" ca="1" si="34"/>
        <v>-0.37995288663829174</v>
      </c>
      <c r="U43">
        <f t="shared" ca="1" si="34"/>
        <v>-0.26592735064318729</v>
      </c>
      <c r="V43">
        <f t="shared" ca="1" si="34"/>
        <v>-0.16735844474518141</v>
      </c>
      <c r="W43">
        <f t="shared" ca="1" si="34"/>
        <v>-1.0408063052363609E-2</v>
      </c>
      <c r="X43">
        <f t="shared" ca="1" si="34"/>
        <v>0.6302782931000529</v>
      </c>
      <c r="Y43">
        <f t="shared" ca="1" si="34"/>
        <v>3.5876806807002035</v>
      </c>
      <c r="Z43">
        <f t="shared" ca="1" si="34"/>
        <v>12.998637737734605</v>
      </c>
      <c r="AA43">
        <f t="shared" ca="1" si="34"/>
        <v>30.200293389647022</v>
      </c>
      <c r="AB43">
        <f t="shared" ca="1" si="34"/>
        <v>48.567199121898355</v>
      </c>
      <c r="AC43">
        <f t="shared" ca="1" si="34"/>
        <v>62.532345476033278</v>
      </c>
      <c r="AD43">
        <f t="shared" ca="1" si="34"/>
        <v>72.132855421885822</v>
      </c>
      <c r="AE43">
        <f t="shared" ca="1" si="34"/>
        <v>79.12451227954918</v>
      </c>
      <c r="AF43">
        <f t="shared" ca="1" si="34"/>
        <v>84.772713411512342</v>
      </c>
      <c r="AG43">
        <f t="shared" ca="1" si="34"/>
        <v>89.719784577089584</v>
      </c>
      <c r="AH43">
        <f t="shared" ca="1" si="34"/>
        <v>94.253621277112273</v>
      </c>
      <c r="AI43">
        <f t="shared" ca="1" si="34"/>
        <v>98.490746848078331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0.4000000000000094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7.254380677656944E-9</v>
      </c>
      <c r="L46">
        <f t="shared" ca="1" si="35"/>
        <v>1.0490558191835737E-7</v>
      </c>
      <c r="M46">
        <f t="shared" ca="1" si="35"/>
        <v>6.8752488272548873E-7</v>
      </c>
      <c r="N46">
        <f t="shared" ca="1" si="35"/>
        <v>3.1524266474803239E-6</v>
      </c>
      <c r="O46">
        <f t="shared" ca="1" si="35"/>
        <v>1.2021609694860603E-5</v>
      </c>
      <c r="P46">
        <f t="shared" ca="1" si="35"/>
        <v>5.6660523878878886E-5</v>
      </c>
      <c r="Q46">
        <f t="shared" ca="1" si="35"/>
        <v>6.3021507374925816E-4</v>
      </c>
      <c r="R46">
        <f t="shared" ca="1" si="35"/>
        <v>2.2448140739628752E-3</v>
      </c>
      <c r="S46">
        <f t="shared" ca="1" si="35"/>
        <v>6.2496251869417407E-3</v>
      </c>
      <c r="T46">
        <f t="shared" ca="1" si="35"/>
        <v>1.6664845217592733E-2</v>
      </c>
      <c r="U46">
        <f t="shared" ca="1" si="35"/>
        <v>4.3118811215338393E-2</v>
      </c>
      <c r="V46">
        <f t="shared" ca="1" si="35"/>
        <v>0.10821297958103804</v>
      </c>
      <c r="W46">
        <f t="shared" ca="1" si="35"/>
        <v>0.26065015848773398</v>
      </c>
      <c r="X46">
        <f t="shared" ca="1" si="35"/>
        <v>0.58496655078175497</v>
      </c>
      <c r="Y46">
        <f t="shared" ca="1" si="35"/>
        <v>1.1508137165512606</v>
      </c>
      <c r="Z46">
        <f t="shared" ca="1" si="35"/>
        <v>1.8206092816910888</v>
      </c>
      <c r="AA46">
        <f t="shared" ca="1" si="35"/>
        <v>2.19746720162571</v>
      </c>
      <c r="AB46">
        <f t="shared" ca="1" si="35"/>
        <v>2.1006908834726272</v>
      </c>
      <c r="AC46">
        <f t="shared" ca="1" si="35"/>
        <v>1.7360919407616644</v>
      </c>
      <c r="AD46">
        <f t="shared" ca="1" si="35"/>
        <v>1.332125300825902</v>
      </c>
      <c r="AE46">
        <f t="shared" ca="1" si="35"/>
        <v>0.98669385027784384</v>
      </c>
      <c r="AF46">
        <f t="shared" ca="1" si="35"/>
        <v>0.71814668941346849</v>
      </c>
      <c r="AG46">
        <f t="shared" ca="1" si="35"/>
        <v>0.51757441828767758</v>
      </c>
      <c r="AH46">
        <f t="shared" ca="1" si="35"/>
        <v>0.37061383998432368</v>
      </c>
      <c r="AI46">
        <f t="shared" ca="1" si="35"/>
        <v>0.8306495793525086</v>
      </c>
    </row>
    <row r="47" spans="1:35" ht="19" thickTop="1">
      <c r="A47" s="1" t="s">
        <v>41</v>
      </c>
      <c r="B47" s="11">
        <f ca="1">MAX(0,Ro*(reck-1/spr)/(reck-1))</f>
        <v>8771.7289435895673</v>
      </c>
      <c r="F47" t="s">
        <v>84</v>
      </c>
      <c r="G47" s="31">
        <f ca="1">G39/G53</f>
        <v>0.99999999999999989</v>
      </c>
      <c r="H47" s="31">
        <f ca="1">H53/H39</f>
        <v>0.2786238033041889</v>
      </c>
      <c r="I47" s="31">
        <f ca="1">I53/I39</f>
        <v>0.48656274368195579</v>
      </c>
      <c r="J47" s="8" t="s">
        <v>76</v>
      </c>
      <c r="K47">
        <f t="shared" ref="K47:AI47" ca="1" si="36">lz*qa2_</f>
        <v>6.2667956117463302E-4</v>
      </c>
      <c r="L47">
        <f t="shared" ca="1" si="36"/>
        <v>3.8058948375586668E-2</v>
      </c>
      <c r="M47">
        <f t="shared" ca="1" si="36"/>
        <v>0.55623380079786122</v>
      </c>
      <c r="N47">
        <f t="shared" ca="1" si="36"/>
        <v>1.3314550187159062</v>
      </c>
      <c r="O47">
        <f t="shared" ca="1" si="36"/>
        <v>1.5808298441158206</v>
      </c>
      <c r="P47">
        <f t="shared" ca="1" si="36"/>
        <v>1.5946866471196783</v>
      </c>
      <c r="Q47">
        <f t="shared" ca="1" si="36"/>
        <v>1.4757021771578003</v>
      </c>
      <c r="R47">
        <f t="shared" ca="1" si="36"/>
        <v>1.2770824618661754</v>
      </c>
      <c r="S47">
        <f t="shared" ca="1" si="36"/>
        <v>1.052578611240141</v>
      </c>
      <c r="T47">
        <f t="shared" ca="1" si="36"/>
        <v>0.83817159991804036</v>
      </c>
      <c r="U47">
        <f t="shared" ca="1" si="36"/>
        <v>0.64981779876498069</v>
      </c>
      <c r="V47">
        <f t="shared" ca="1" si="36"/>
        <v>0.49244017228148829</v>
      </c>
      <c r="W47">
        <f t="shared" ca="1" si="36"/>
        <v>0.36507424158644897</v>
      </c>
      <c r="X47">
        <f t="shared" ca="1" si="36"/>
        <v>0.26384727545816333</v>
      </c>
      <c r="Y47">
        <f t="shared" ca="1" si="36"/>
        <v>0.18411066607327969</v>
      </c>
      <c r="Z47">
        <f t="shared" ca="1" si="36"/>
        <v>0.16036783124986381</v>
      </c>
      <c r="AA47">
        <f t="shared" ca="1" si="36"/>
        <v>0.1317659630276557</v>
      </c>
      <c r="AB47">
        <f t="shared" ca="1" si="36"/>
        <v>0.10285663327611243</v>
      </c>
      <c r="AC47">
        <f t="shared" ca="1" si="36"/>
        <v>7.7535902638034032E-2</v>
      </c>
      <c r="AD47">
        <f t="shared" ca="1" si="36"/>
        <v>5.7253017719123937E-2</v>
      </c>
      <c r="AE47">
        <f t="shared" ca="1" si="36"/>
        <v>4.1757733961961772E-2</v>
      </c>
      <c r="AF47">
        <f t="shared" ca="1" si="36"/>
        <v>3.0207973907652143E-2</v>
      </c>
      <c r="AG47">
        <f t="shared" ca="1" si="36"/>
        <v>2.1719225389445939E-2</v>
      </c>
      <c r="AH47">
        <f t="shared" ca="1" si="36"/>
        <v>1.5537795265748538E-2</v>
      </c>
      <c r="AI47">
        <f t="shared" ca="1" si="36"/>
        <v>3.4812087056429603E-2</v>
      </c>
    </row>
    <row r="48" spans="1:35">
      <c r="A48" s="1" t="s">
        <v>43</v>
      </c>
      <c r="B48" s="1">
        <f ca="1">f1_*re*phi_q1</f>
        <v>28318.883277827816</v>
      </c>
      <c r="C48" s="20">
        <f ca="1">ye_1/SUM(ye_1,ye_2,ye_3)</f>
        <v>0.67286601798222367</v>
      </c>
      <c r="F48" t="s">
        <v>85</v>
      </c>
      <c r="G48" s="31">
        <f ca="1">G40/G54</f>
        <v>3.5890688022381387</v>
      </c>
      <c r="H48" s="31">
        <f t="shared" ref="H48:I49" ca="1" si="37">H40/H54</f>
        <v>0.99999999999999956</v>
      </c>
      <c r="I48" s="31">
        <f ca="1">I54/I40</f>
        <v>0.37902575333916827</v>
      </c>
      <c r="J48" s="8" t="s">
        <v>77</v>
      </c>
      <c r="K48">
        <f t="shared" ref="K48:AI48" ca="1" si="38">lz*qa3_</f>
        <v>1.4666384763518313E-6</v>
      </c>
      <c r="L48">
        <f t="shared" ca="1" si="38"/>
        <v>2.9712714418537745E-5</v>
      </c>
      <c r="M48">
        <f t="shared" ca="1" si="38"/>
        <v>2.7217884509837651E-4</v>
      </c>
      <c r="N48">
        <f t="shared" ca="1" si="38"/>
        <v>1.7293328484469519E-3</v>
      </c>
      <c r="O48">
        <f t="shared" ca="1" si="38"/>
        <v>9.1211220605057573E-3</v>
      </c>
      <c r="P48">
        <f t="shared" ca="1" si="38"/>
        <v>0.10992081254743538</v>
      </c>
      <c r="Q48">
        <f t="shared" ca="1" si="38"/>
        <v>2.0895898841102762</v>
      </c>
      <c r="R48">
        <f t="shared" ca="1" si="38"/>
        <v>4.2785486419220096</v>
      </c>
      <c r="S48">
        <f t="shared" ca="1" si="38"/>
        <v>4.9071933992941359</v>
      </c>
      <c r="T48">
        <f t="shared" ca="1" si="38"/>
        <v>4.8133706433645722</v>
      </c>
      <c r="U48">
        <f t="shared" ca="1" si="38"/>
        <v>4.4489997932316721</v>
      </c>
      <c r="V48">
        <f t="shared" ca="1" si="38"/>
        <v>3.9859407514008458</v>
      </c>
      <c r="W48">
        <f t="shared" ca="1" si="38"/>
        <v>3.4861343492133829</v>
      </c>
      <c r="X48">
        <f t="shared" ca="1" si="38"/>
        <v>2.9707752384363735</v>
      </c>
      <c r="Y48">
        <f t="shared" ca="1" si="38"/>
        <v>2.4439503042784683</v>
      </c>
      <c r="Z48">
        <f t="shared" ca="1" si="38"/>
        <v>2.1287794908285562</v>
      </c>
      <c r="AA48">
        <f t="shared" ca="1" si="38"/>
        <v>1.7491081440485936</v>
      </c>
      <c r="AB48">
        <f t="shared" ca="1" si="38"/>
        <v>1.365355443840288</v>
      </c>
      <c r="AC48">
        <f t="shared" ca="1" si="38"/>
        <v>1.0292390815060475</v>
      </c>
      <c r="AD48">
        <f t="shared" ca="1" si="38"/>
        <v>0.75999687068548838</v>
      </c>
      <c r="AE48">
        <f t="shared" ca="1" si="38"/>
        <v>0.55430697633615833</v>
      </c>
      <c r="AF48">
        <f t="shared" ca="1" si="38"/>
        <v>0.40099136349796255</v>
      </c>
      <c r="AG48">
        <f t="shared" ca="1" si="38"/>
        <v>0.28830870384283913</v>
      </c>
      <c r="AH48">
        <f t="shared" ca="1" si="38"/>
        <v>0.20625420719747134</v>
      </c>
      <c r="AI48">
        <f t="shared" ca="1" si="38"/>
        <v>0.46210799498311816</v>
      </c>
    </row>
    <row r="49" spans="1:47">
      <c r="A49" s="1" t="s">
        <v>44</v>
      </c>
      <c r="B49" s="1">
        <f ca="1">f2_*re*phi_q2</f>
        <v>5650.4572446149205</v>
      </c>
      <c r="C49" s="20">
        <f ca="1">ye_2/SUM(ye_1,ye_2,ye_3)</f>
        <v>0.1342567299939971</v>
      </c>
      <c r="F49" t="s">
        <v>86</v>
      </c>
      <c r="G49" s="31">
        <f ca="1">G41/G55</f>
        <v>2.0552333958673481</v>
      </c>
      <c r="H49" s="31">
        <f t="shared" ca="1" si="37"/>
        <v>2.6383431500105941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8117.6166443791035</v>
      </c>
      <c r="C50" s="20">
        <f ca="1">ye_3/SUM(ye_1,ye_2,ye_3)</f>
        <v>0.19287725202377939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42086.957166821834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1186.6770020621373</v>
      </c>
      <c r="H52" s="57">
        <f ca="1">H40^0.5</f>
        <v>328.59348092021207</v>
      </c>
      <c r="I52" s="11">
        <f ca="1">I41^0.5</f>
        <v>563.88043272628045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3.2284266260328787</v>
      </c>
      <c r="C53">
        <f ca="1">AVERAGE(B53:B55)/B53</f>
        <v>0.49539332411662923</v>
      </c>
      <c r="G53">
        <f ca="1">G$52*$J53</f>
        <v>1408202.3072231817</v>
      </c>
      <c r="H53">
        <f t="shared" ref="H53:I53" ca="1" si="39">H$52*$J53</f>
        <v>389934.32683555939</v>
      </c>
      <c r="I53">
        <f t="shared" ca="1" si="39"/>
        <v>669143.94142912317</v>
      </c>
      <c r="J53">
        <f t="array" aca="1" ref="J53:J55" ca="1">TRANSPOSE(G52:I52)</f>
        <v>1186.6770020621373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0.64416687758509783</v>
      </c>
      <c r="C54">
        <f ca="1">AVERAGE(B53:B55)/B54</f>
        <v>2.4828053934297176</v>
      </c>
      <c r="G54">
        <f t="shared" ref="G54:I55" ca="1" si="40">G$52*$J54</f>
        <v>389934.32683555939</v>
      </c>
      <c r="H54">
        <f t="shared" ca="1" si="40"/>
        <v>107973.67570326178</v>
      </c>
      <c r="I54">
        <f ca="1">I$52*$J54</f>
        <v>185287.43421232395</v>
      </c>
      <c r="J54">
        <f ca="1"/>
        <v>328.59348092021207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0.92542949019320841</v>
      </c>
      <c r="C55">
        <f ca="1">AVERAGE(B53:B55)/B55</f>
        <v>1.7282148611918084</v>
      </c>
      <c r="G55">
        <f t="shared" ca="1" si="40"/>
        <v>669143.94142912317</v>
      </c>
      <c r="H55">
        <f t="shared" ca="1" si="40"/>
        <v>185287.43421232395</v>
      </c>
      <c r="I55">
        <f t="shared" ca="1" si="40"/>
        <v>317961.14241157728</v>
      </c>
      <c r="J55">
        <f ca="1"/>
        <v>563.88043272628045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4.2247407842074466E-2</v>
      </c>
      <c r="C56">
        <f ca="1">AVERAGE(B56:B58)/B56</f>
        <v>1.2806406936508461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9.0482415086634918E-2</v>
      </c>
      <c r="C57">
        <f ca="1">AVERAGE(B56:B58)/B57</f>
        <v>0.59794767449588193</v>
      </c>
      <c r="G57">
        <f t="array" aca="1" ref="G57:I59" ca="1">MMULT($G$52:$I$52,TRANSPOSE($G$52:$I$52))</f>
        <v>1834137.1253380207</v>
      </c>
      <c r="H57">
        <f ca="1"/>
        <v>1834137.1253380207</v>
      </c>
      <c r="I57">
        <f ca="1"/>
        <v>1834137.1253380207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2.9581426122763977E-2</v>
      </c>
      <c r="C58">
        <f ca="1">AVERAGE(B56:B58)/B58</f>
        <v>1.828977056727825</v>
      </c>
      <c r="G58">
        <f ca="1"/>
        <v>1834137.1253380207</v>
      </c>
      <c r="H58">
        <f ca="1"/>
        <v>1834137.1253380207</v>
      </c>
      <c r="I58">
        <f ca="1"/>
        <v>1834137.1253380207</v>
      </c>
      <c r="AL58" s="31"/>
      <c r="AM58" s="31"/>
      <c r="AN58" s="31"/>
      <c r="AO58" s="31"/>
      <c r="AP58" s="31"/>
    </row>
    <row r="59" spans="1:47">
      <c r="G59">
        <f ca="1"/>
        <v>1834137.1253380207</v>
      </c>
      <c r="H59">
        <f ca="1"/>
        <v>1834137.1253380207</v>
      </c>
      <c r="I59">
        <f ca="1"/>
        <v>1834137.1253380207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76.417152931633069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7.1192493808694453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31.284140472222095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(2)'!K46:AI46</xm:f>
              <xm:sqref>J46</xm:sqref>
            </x14:sparkline>
            <x14:sparkline>
              <xm:f>'Excluders (2)'!K47:AI47</xm:f>
              <xm:sqref>J47</xm:sqref>
            </x14:sparkline>
            <x14:sparkline>
              <xm:f>'Excluders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(2)'!K18:AI18</xm:f>
              <xm:sqref>J18</xm:sqref>
            </x14:sparkline>
            <x14:sparkline>
              <xm:f>'Excluders (2)'!K19:AI19</xm:f>
              <xm:sqref>J19</xm:sqref>
            </x14:sparkline>
            <x14:sparkline>
              <xm:f>'Excluders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0.60367371601208464</v>
      </c>
      <c r="E4" s="47">
        <v>24977</v>
      </c>
      <c r="F4" s="47">
        <f ca="1">ye_1</f>
        <v>25770.010971782787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0.22513595166163136</v>
      </c>
      <c r="E5" s="47">
        <v>9315</v>
      </c>
      <c r="F5" s="47">
        <f ca="1">ye_2</f>
        <v>9610.7479762243893</v>
      </c>
      <c r="J5" t="s">
        <v>3</v>
      </c>
      <c r="K5" s="9">
        <f>0.00000692*len^3.24</f>
        <v>7.0158553546955618E-2</v>
      </c>
      <c r="L5" s="9">
        <f>0.00000692*len^3.24</f>
        <v>0.46238682351281868</v>
      </c>
      <c r="M5" s="9">
        <f>0.00000692*len^3.24</f>
        <v>1.4016693105158124</v>
      </c>
      <c r="N5" s="9">
        <f>0.00000692*len^3.24</f>
        <v>3.0263235000724551</v>
      </c>
      <c r="O5" s="9">
        <f>0.00000692*len^3.24</f>
        <v>5.3989138613447478</v>
      </c>
      <c r="P5" s="9">
        <f>0.00000692*len^3.24</f>
        <v>8.5235871881960321</v>
      </c>
      <c r="Q5" s="9">
        <f>0.00000692*len^3.24</f>
        <v>12.362641181768007</v>
      </c>
      <c r="R5" s="9">
        <f>0.00000692*len^3.24</f>
        <v>16.850499568231225</v>
      </c>
      <c r="S5" s="9">
        <f>0.00000692*len^3.24</f>
        <v>21.904807515591521</v>
      </c>
      <c r="T5" s="9">
        <f>0.00000692*len^3.24</f>
        <v>27.434883404502997</v>
      </c>
      <c r="U5" s="9">
        <f>0.00000692*len^3.24</f>
        <v>33.347926709886231</v>
      </c>
      <c r="V5" s="9">
        <f>0.00000692*len^3.24</f>
        <v>39.553403570181338</v>
      </c>
      <c r="W5" s="9">
        <f>0.00000692*len^3.24</f>
        <v>45.965996898027832</v>
      </c>
      <c r="X5" s="9">
        <f>0.00000692*len^3.24</f>
        <v>52.507453509450855</v>
      </c>
      <c r="Y5" s="9">
        <f>0.00000692*len^3.24</f>
        <v>59.107603219100518</v>
      </c>
      <c r="Z5" s="9">
        <f>0.00000692*len^3.24</f>
        <v>65.704771366005971</v>
      </c>
      <c r="AA5" s="9">
        <f>0.00000692*len^3.24</f>
        <v>72.245759564237062</v>
      </c>
      <c r="AB5" s="9">
        <f>0.00000692*len^3.24</f>
        <v>78.685530247837576</v>
      </c>
      <c r="AC5" s="9">
        <f>0.00000692*len^3.24</f>
        <v>84.986698433372865</v>
      </c>
      <c r="AD5" s="9">
        <f>0.00000692*len^3.24</f>
        <v>91.118908268394236</v>
      </c>
      <c r="AE5" s="9">
        <f>0.00000692*len^3.24</f>
        <v>97.058151452529373</v>
      </c>
      <c r="AF5" s="9">
        <f>0.00000692*len^3.24</f>
        <v>102.78606860782043</v>
      </c>
      <c r="AG5" s="9">
        <f>0.00000692*len^3.24</f>
        <v>108.28926231630099</v>
      </c>
      <c r="AH5" s="9">
        <f>0.00000692*len^3.24</f>
        <v>113.55864112278009</v>
      </c>
      <c r="AI5" s="9">
        <f>0.00000692*len^3.24</f>
        <v>118.58880671719038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</v>
      </c>
      <c r="E6" s="47">
        <v>7083</v>
      </c>
      <c r="F6" s="47">
        <f ca="1">ye_3</f>
        <v>7307.8827606653113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0.3999999999998522</v>
      </c>
      <c r="J7" t="s">
        <v>7</v>
      </c>
      <c r="K7" s="1">
        <f>1</f>
        <v>1</v>
      </c>
      <c r="L7" s="1">
        <f ca="1">K7*EXP(-K8)</f>
        <v>0.86049682947381922</v>
      </c>
      <c r="M7" s="1">
        <f t="shared" ref="M7:AH7" ca="1" si="3">L7*EXP(-L8)</f>
        <v>0.7383781272944927</v>
      </c>
      <c r="N7" s="1">
        <f t="shared" ca="1" si="3"/>
        <v>0.6224388249624605</v>
      </c>
      <c r="O7" s="1">
        <f t="shared" ca="1" si="3"/>
        <v>0.51795917371885758</v>
      </c>
      <c r="P7" s="1">
        <f t="shared" ca="1" si="3"/>
        <v>0.43091821354636434</v>
      </c>
      <c r="Q7" s="1">
        <f t="shared" ca="1" si="3"/>
        <v>0.36200533732586859</v>
      </c>
      <c r="R7" s="1">
        <f t="shared" ca="1" si="3"/>
        <v>0.3018298564374306</v>
      </c>
      <c r="S7" s="1">
        <f t="shared" ca="1" si="3"/>
        <v>0.25005485474824918</v>
      </c>
      <c r="T7" s="1">
        <f t="shared" ca="1" si="3"/>
        <v>0.20724025429343779</v>
      </c>
      <c r="U7" s="1">
        <f t="shared" ca="1" si="3"/>
        <v>0.17215137383606033</v>
      </c>
      <c r="V7" s="1">
        <f t="shared" ca="1" si="3"/>
        <v>0.14329748533133832</v>
      </c>
      <c r="W7" s="1">
        <f t="shared" ca="1" si="3"/>
        <v>0.11933105375014622</v>
      </c>
      <c r="X7" s="1">
        <f t="shared" ca="1" si="3"/>
        <v>9.9038763339566543E-2</v>
      </c>
      <c r="Y7" s="1">
        <f t="shared" ca="1" si="3"/>
        <v>8.1265392984595924E-2</v>
      </c>
      <c r="Z7" s="1">
        <f t="shared" ca="1" si="3"/>
        <v>6.5015842795283885E-2</v>
      </c>
      <c r="AA7" s="1">
        <f t="shared" ca="1" si="3"/>
        <v>4.9877504165924146E-2</v>
      </c>
      <c r="AB7" s="1">
        <f t="shared" ca="1" si="3"/>
        <v>3.6624188198368532E-2</v>
      </c>
      <c r="AC7" s="1">
        <f t="shared" ca="1" si="3"/>
        <v>2.6076327823526046E-2</v>
      </c>
      <c r="AD7" s="1">
        <f t="shared" ca="1" si="3"/>
        <v>1.8268218480946591E-2</v>
      </c>
      <c r="AE7" s="1">
        <f t="shared" ca="1" si="3"/>
        <v>1.27061626528011E-2</v>
      </c>
      <c r="AF7" s="1">
        <f t="shared" ca="1" si="3"/>
        <v>8.8113100987287987E-3</v>
      </c>
      <c r="AG7" s="1">
        <f t="shared" ca="1" si="3"/>
        <v>6.1031021959560604E-3</v>
      </c>
      <c r="AH7" s="1">
        <f t="shared" ca="1" si="3"/>
        <v>4.2253021300970922E-3</v>
      </c>
      <c r="AI7" s="1">
        <f ca="1">AH7*EXP(-AH8)/(1-EXP(-AI8))</f>
        <v>9.5003633913569811E-3</v>
      </c>
    </row>
    <row r="8" spans="1:35">
      <c r="A8" s="5"/>
      <c r="B8" s="26"/>
      <c r="C8" s="26"/>
      <c r="E8" t="s">
        <v>111</v>
      </c>
      <c r="F8">
        <f ca="1">SUMXMY2(E4:E6,F4:F6)</f>
        <v>766905.52285315411</v>
      </c>
      <c r="J8" t="s">
        <v>11</v>
      </c>
      <c r="K8" s="1">
        <f ca="1">M+f1_*flt1_ +f2_*flt2_ +f3_*flt3_</f>
        <v>0.15024534785351992</v>
      </c>
      <c r="L8" s="1">
        <f t="shared" ref="L8:AI8" ca="1" si="4">M+f1_*flt1_ +f2_*flt2_ +f3_*flt3_</f>
        <v>0.15305387013589514</v>
      </c>
      <c r="M8" s="1">
        <f t="shared" ca="1" si="4"/>
        <v>0.17081071063565587</v>
      </c>
      <c r="N8" s="1">
        <f t="shared" ca="1" si="4"/>
        <v>0.18374892641822591</v>
      </c>
      <c r="O8" s="1">
        <f t="shared" ca="1" si="4"/>
        <v>0.18397811159496735</v>
      </c>
      <c r="P8" s="1">
        <f t="shared" ca="1" si="4"/>
        <v>0.17425935663268127</v>
      </c>
      <c r="Q8" s="1">
        <f t="shared" ca="1" si="4"/>
        <v>0.1817954863797267</v>
      </c>
      <c r="R8" s="1">
        <f t="shared" ca="1" si="4"/>
        <v>0.18818315654504841</v>
      </c>
      <c r="S8" s="1">
        <f t="shared" ca="1" si="4"/>
        <v>0.18780154379253239</v>
      </c>
      <c r="T8" s="1">
        <f t="shared" ca="1" si="4"/>
        <v>0.1855045987819427</v>
      </c>
      <c r="U8" s="1">
        <f t="shared" ca="1" si="4"/>
        <v>0.18345138381274917</v>
      </c>
      <c r="V8" s="1">
        <f t="shared" ca="1" si="4"/>
        <v>0.1830211915014659</v>
      </c>
      <c r="W8" s="1">
        <f t="shared" ca="1" si="4"/>
        <v>0.1863902725138869</v>
      </c>
      <c r="X8" s="1">
        <f t="shared" ca="1" si="4"/>
        <v>0.1977910669996753</v>
      </c>
      <c r="Y8" s="1">
        <f t="shared" ca="1" si="4"/>
        <v>0.22308927987509286</v>
      </c>
      <c r="Z8" s="1">
        <f t="shared" ca="1" si="4"/>
        <v>0.26506089271888117</v>
      </c>
      <c r="AA8" s="1">
        <f t="shared" ca="1" si="4"/>
        <v>0.30886118093086967</v>
      </c>
      <c r="AB8" s="1">
        <f t="shared" ca="1" si="4"/>
        <v>0.33968097902737782</v>
      </c>
      <c r="AC8" s="1">
        <f t="shared" ca="1" si="4"/>
        <v>0.35586506781792077</v>
      </c>
      <c r="AD8" s="1">
        <f t="shared" ca="1" si="4"/>
        <v>0.36307573099228174</v>
      </c>
      <c r="AE8" s="1">
        <f t="shared" ca="1" si="4"/>
        <v>0.36605098925767388</v>
      </c>
      <c r="AF8" s="1">
        <f t="shared" ca="1" si="4"/>
        <v>0.36723893614183228</v>
      </c>
      <c r="AG8" s="1">
        <f t="shared" ca="1" si="4"/>
        <v>0.36770643028766897</v>
      </c>
      <c r="AH8" s="1">
        <f t="shared" ca="1" si="4"/>
        <v>0.36788877343519399</v>
      </c>
      <c r="AI8" s="1">
        <f t="shared" ca="1" si="4"/>
        <v>0.36795906556909785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0.86049682947381922</v>
      </c>
      <c r="L10" s="1">
        <f t="shared" ca="1" si="5"/>
        <v>0.85808349549178442</v>
      </c>
      <c r="M10" s="1">
        <f t="shared" ca="1" si="5"/>
        <v>0.8429811257318145</v>
      </c>
      <c r="N10" s="1">
        <f t="shared" ca="1" si="5"/>
        <v>0.83214470715270039</v>
      </c>
      <c r="O10" s="1">
        <f t="shared" ca="1" si="5"/>
        <v>0.83195401377379963</v>
      </c>
      <c r="P10" s="1">
        <f t="shared" ca="1" si="5"/>
        <v>0.84007898934380709</v>
      </c>
      <c r="Q10" s="1">
        <f t="shared" ca="1" si="5"/>
        <v>0.83377184067794707</v>
      </c>
      <c r="R10" s="1">
        <f t="shared" ca="1" si="5"/>
        <v>0.82846295492336619</v>
      </c>
      <c r="S10" s="1">
        <f t="shared" ca="1" si="5"/>
        <v>0.82877916728344914</v>
      </c>
      <c r="T10" s="1">
        <f t="shared" ca="1" si="5"/>
        <v>0.83068501543288953</v>
      </c>
      <c r="U10" s="1">
        <f t="shared" ca="1" si="5"/>
        <v>0.83239234249620597</v>
      </c>
      <c r="V10" s="1">
        <f t="shared" ca="1" si="5"/>
        <v>0.83275050831648623</v>
      </c>
      <c r="W10" s="1">
        <f t="shared" ca="1" si="5"/>
        <v>0.82994962524115978</v>
      </c>
      <c r="X10" s="1">
        <f t="shared" ca="1" si="5"/>
        <v>0.8205412733796722</v>
      </c>
      <c r="Y10" s="1">
        <f t="shared" ca="1" si="5"/>
        <v>0.80004341832947046</v>
      </c>
      <c r="Z10" s="1">
        <f t="shared" ca="1" si="5"/>
        <v>0.76715923414196141</v>
      </c>
      <c r="AA10" s="1">
        <f t="shared" ca="1" si="5"/>
        <v>0.73428269539176028</v>
      </c>
      <c r="AB10" s="1">
        <f t="shared" ca="1" si="5"/>
        <v>0.71199742864710502</v>
      </c>
      <c r="AC10" s="1">
        <f t="shared" ca="1" si="5"/>
        <v>0.70056714291131961</v>
      </c>
      <c r="AD10" s="1">
        <f t="shared" ca="1" si="5"/>
        <v>0.69553375804287587</v>
      </c>
      <c r="AE10" s="1">
        <f t="shared" ca="1" si="5"/>
        <v>0.69346744091823254</v>
      </c>
      <c r="AF10" s="1">
        <f t="shared" ca="1" si="5"/>
        <v>0.6926441275556231</v>
      </c>
      <c r="AG10" s="1">
        <f t="shared" ca="1" si="5"/>
        <v>0.69232039615800534</v>
      </c>
      <c r="AH10" s="1">
        <f t="shared" ca="1" si="5"/>
        <v>0.69219416778666309</v>
      </c>
      <c r="AI10" s="1">
        <f t="shared" ca="1" si="5"/>
        <v>0.69214551369155375</v>
      </c>
    </row>
    <row r="11" spans="1:35">
      <c r="A11" s="5">
        <v>1</v>
      </c>
      <c r="B11" s="25">
        <f>'Status Quo'!B11</f>
        <v>0.26028638242243257</v>
      </c>
      <c r="C11" s="18">
        <f ca="1">mpr1_/SUM(mpr1_,mpr2_,mpr3_)</f>
        <v>0.24519573128857486</v>
      </c>
      <c r="J11" t="s">
        <v>56</v>
      </c>
      <c r="K11" s="1">
        <f ca="1">1-sa</f>
        <v>0.13950317052618078</v>
      </c>
      <c r="L11" s="1">
        <f t="shared" ref="L11:AI11" ca="1" si="6">1-sa</f>
        <v>0.14191650450821558</v>
      </c>
      <c r="M11" s="1">
        <f t="shared" ca="1" si="6"/>
        <v>0.1570188742681855</v>
      </c>
      <c r="N11" s="1">
        <f t="shared" ca="1" si="6"/>
        <v>0.16785529284729961</v>
      </c>
      <c r="O11" s="1">
        <f t="shared" ca="1" si="6"/>
        <v>0.16804598622620037</v>
      </c>
      <c r="P11" s="1">
        <f t="shared" ca="1" si="6"/>
        <v>0.15992101065619291</v>
      </c>
      <c r="Q11" s="1">
        <f t="shared" ca="1" si="6"/>
        <v>0.16622815932205293</v>
      </c>
      <c r="R11" s="1">
        <f t="shared" ca="1" si="6"/>
        <v>0.17153704507663381</v>
      </c>
      <c r="S11" s="1">
        <f t="shared" ca="1" si="6"/>
        <v>0.17122083271655086</v>
      </c>
      <c r="T11" s="1">
        <f t="shared" ca="1" si="6"/>
        <v>0.16931498456711047</v>
      </c>
      <c r="U11" s="1">
        <f t="shared" ca="1" si="6"/>
        <v>0.16760765750379403</v>
      </c>
      <c r="V11" s="1">
        <f t="shared" ca="1" si="6"/>
        <v>0.16724949168351377</v>
      </c>
      <c r="W11" s="1">
        <f t="shared" ca="1" si="6"/>
        <v>0.17005037475884022</v>
      </c>
      <c r="X11" s="1">
        <f t="shared" ca="1" si="6"/>
        <v>0.1794587266203278</v>
      </c>
      <c r="Y11" s="1">
        <f t="shared" ca="1" si="6"/>
        <v>0.19995658167052954</v>
      </c>
      <c r="Z11" s="1">
        <f t="shared" ca="1" si="6"/>
        <v>0.23284076585803859</v>
      </c>
      <c r="AA11" s="1">
        <f t="shared" ca="1" si="6"/>
        <v>0.26571730460823972</v>
      </c>
      <c r="AB11" s="1">
        <f t="shared" ca="1" si="6"/>
        <v>0.28800257135289498</v>
      </c>
      <c r="AC11" s="1">
        <f t="shared" ca="1" si="6"/>
        <v>0.29943285708868039</v>
      </c>
      <c r="AD11" s="1">
        <f t="shared" ca="1" si="6"/>
        <v>0.30446624195712413</v>
      </c>
      <c r="AE11" s="1">
        <f t="shared" ca="1" si="6"/>
        <v>0.30653255908176746</v>
      </c>
      <c r="AF11" s="1">
        <f t="shared" ca="1" si="6"/>
        <v>0.3073558724443769</v>
      </c>
      <c r="AG11" s="1">
        <f t="shared" ca="1" si="6"/>
        <v>0.30767960384199466</v>
      </c>
      <c r="AH11" s="1">
        <f t="shared" ca="1" si="6"/>
        <v>0.30780583221333691</v>
      </c>
      <c r="AI11" s="1">
        <f t="shared" ca="1" si="6"/>
        <v>0.30785448630844625</v>
      </c>
    </row>
    <row r="12" spans="1:35">
      <c r="A12" s="5">
        <v>2</v>
      </c>
      <c r="B12" s="25">
        <f>'Status Quo'!B12</f>
        <v>0.55746237931999676</v>
      </c>
      <c r="C12" s="18">
        <f ca="1">mpr2_/SUM(mpr1_,mpr2_,mpr3_)</f>
        <v>0.57580465415191096</v>
      </c>
      <c r="J12" t="s">
        <v>100</v>
      </c>
      <c r="K12">
        <f>1/(1+EXP(($E18-len)/2.5))</f>
        <v>0.99898718624880734</v>
      </c>
      <c r="L12">
        <f t="shared" ref="L12:AI12" si="7">1/(1+EXP(($E18-len)/2.5))</f>
        <v>0.99999561571634576</v>
      </c>
      <c r="M12">
        <f t="shared" si="7"/>
        <v>0.99999997149652653</v>
      </c>
      <c r="N12">
        <f t="shared" si="7"/>
        <v>0.99999999972979126</v>
      </c>
      <c r="O12">
        <f t="shared" si="7"/>
        <v>0.9999999999963689</v>
      </c>
      <c r="P12">
        <f t="shared" si="7"/>
        <v>0.99999999999993272</v>
      </c>
      <c r="Q12">
        <f t="shared" si="7"/>
        <v>0.99999999999999822</v>
      </c>
      <c r="R12">
        <f>1/(1+EXP(($E18-len)/2.5))</f>
        <v>1</v>
      </c>
      <c r="S12">
        <f t="shared" si="7"/>
        <v>1</v>
      </c>
      <c r="T12">
        <f t="shared" si="7"/>
        <v>1</v>
      </c>
      <c r="U12">
        <f t="shared" si="7"/>
        <v>1</v>
      </c>
      <c r="V12">
        <f t="shared" si="7"/>
        <v>1</v>
      </c>
      <c r="W12">
        <f t="shared" si="7"/>
        <v>1</v>
      </c>
      <c r="X12">
        <f t="shared" si="7"/>
        <v>1</v>
      </c>
      <c r="Y12">
        <f t="shared" si="7"/>
        <v>1</v>
      </c>
      <c r="Z12">
        <f t="shared" si="7"/>
        <v>1</v>
      </c>
      <c r="AA12">
        <f t="shared" si="7"/>
        <v>1</v>
      </c>
      <c r="AB12">
        <f t="shared" si="7"/>
        <v>1</v>
      </c>
      <c r="AC12">
        <f t="shared" si="7"/>
        <v>1</v>
      </c>
      <c r="AD12">
        <f t="shared" si="7"/>
        <v>1</v>
      </c>
      <c r="AE12">
        <f t="shared" si="7"/>
        <v>1</v>
      </c>
      <c r="AF12">
        <f t="shared" si="7"/>
        <v>1</v>
      </c>
      <c r="AG12">
        <f t="shared" si="7"/>
        <v>1</v>
      </c>
      <c r="AH12">
        <f t="shared" si="7"/>
        <v>1</v>
      </c>
      <c r="AI12">
        <f t="shared" si="7"/>
        <v>1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0.17899961455951416</v>
      </c>
      <c r="J13" t="s">
        <v>101</v>
      </c>
      <c r="K13">
        <f>1/(1+EXP(($E19-len)/2.5))</f>
        <v>1.780212213170972E-32</v>
      </c>
      <c r="L13">
        <f t="shared" ref="L13:Q14" si="8">1/(1+EXP(($E19-len)/2.5))</f>
        <v>4.1166211340324113E-30</v>
      </c>
      <c r="M13">
        <f t="shared" si="8"/>
        <v>6.3320399670713315E-28</v>
      </c>
      <c r="N13">
        <f t="shared" si="8"/>
        <v>6.6794716679723202E-26</v>
      </c>
      <c r="O13">
        <f t="shared" si="8"/>
        <v>4.9705571051631045E-24</v>
      </c>
      <c r="P13">
        <f t="shared" si="8"/>
        <v>2.6784427606745092E-22</v>
      </c>
      <c r="Q13">
        <f t="shared" si="8"/>
        <v>1.0707147400765349E-20</v>
      </c>
      <c r="R13">
        <f>1/(1+EXP(($E19-len)/2.5))</f>
        <v>3.2470774237305647E-19</v>
      </c>
      <c r="S13">
        <f t="shared" ref="S13:AI13" si="9">1/(1+EXP(($E19-len)/2.5))</f>
        <v>7.6264913102733784E-18</v>
      </c>
      <c r="T13">
        <f t="shared" si="9"/>
        <v>1.4141093097190688E-16</v>
      </c>
      <c r="U13">
        <f t="shared" si="9"/>
        <v>2.1069654906178927E-15</v>
      </c>
      <c r="V13">
        <f t="shared" si="9"/>
        <v>2.5642613710579942E-14</v>
      </c>
      <c r="W13">
        <f t="shared" si="9"/>
        <v>2.5880873253271309E-13</v>
      </c>
      <c r="X13">
        <f t="shared" si="9"/>
        <v>2.1968263846960051E-12</v>
      </c>
      <c r="Y13">
        <f t="shared" si="9"/>
        <v>1.5887117618179969E-11</v>
      </c>
      <c r="Z13">
        <f t="shared" si="9"/>
        <v>9.9068954677535708E-11</v>
      </c>
      <c r="AA13">
        <f t="shared" si="9"/>
        <v>5.3863356368460146E-10</v>
      </c>
      <c r="AB13">
        <f t="shared" si="9"/>
        <v>2.5797156485912094E-9</v>
      </c>
      <c r="AC13">
        <f t="shared" si="9"/>
        <v>1.0987480026385197E-8</v>
      </c>
      <c r="AD13">
        <f t="shared" si="9"/>
        <v>4.198444838888185E-8</v>
      </c>
      <c r="AE13">
        <f t="shared" si="9"/>
        <v>1.4510196922743085E-7</v>
      </c>
      <c r="AF13">
        <f t="shared" si="9"/>
        <v>4.5700253478658503E-7</v>
      </c>
      <c r="AG13">
        <f t="shared" si="9"/>
        <v>1.3208259556624439E-6</v>
      </c>
      <c r="AH13">
        <f t="shared" si="9"/>
        <v>3.5257296435145709E-6</v>
      </c>
      <c r="AI13">
        <f t="shared" si="9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0.3999999999998522</v>
      </c>
      <c r="J14" t="s">
        <v>102</v>
      </c>
      <c r="K14">
        <f>1/(1+EXP(($E20-len)/2.5))</f>
        <v>5.6126934388498569E-12</v>
      </c>
      <c r="L14">
        <f t="shared" si="8"/>
        <v>1.2978976454834829E-9</v>
      </c>
      <c r="M14">
        <f t="shared" si="8"/>
        <v>1.99637952261423E-7</v>
      </c>
      <c r="N14">
        <f t="shared" si="8"/>
        <v>2.1058746277498515E-5</v>
      </c>
      <c r="O14">
        <f t="shared" si="8"/>
        <v>1.564676467664138E-3</v>
      </c>
      <c r="P14">
        <f t="shared" si="8"/>
        <v>7.7870643543285392E-2</v>
      </c>
      <c r="Q14">
        <f t="shared" si="8"/>
        <v>0.77146898694811417</v>
      </c>
      <c r="R14">
        <f>1/(1+EXP(($E20-len)/2.5))</f>
        <v>0.99032644321048724</v>
      </c>
      <c r="S14">
        <f t="shared" ref="S14:AI14" si="10">1/(1+EXP(($E20-len)/2.5))</f>
        <v>0.99958428557508638</v>
      </c>
      <c r="T14">
        <f t="shared" si="10"/>
        <v>0.99997757111253649</v>
      </c>
      <c r="U14">
        <f t="shared" si="10"/>
        <v>0.99999849463304669</v>
      </c>
      <c r="V14">
        <f t="shared" si="10"/>
        <v>0.99999987630899723</v>
      </c>
      <c r="W14">
        <f t="shared" si="10"/>
        <v>0.99999998774476839</v>
      </c>
      <c r="X14">
        <f t="shared" si="10"/>
        <v>0.9999999985562078</v>
      </c>
      <c r="Y14">
        <f t="shared" si="10"/>
        <v>0.99999999980035637</v>
      </c>
      <c r="Z14">
        <f t="shared" si="10"/>
        <v>0.99999999996798428</v>
      </c>
      <c r="AA14">
        <f t="shared" si="10"/>
        <v>0.99999999999411138</v>
      </c>
      <c r="AB14">
        <f t="shared" si="10"/>
        <v>0.99999999999877054</v>
      </c>
      <c r="AC14">
        <f t="shared" si="10"/>
        <v>0.99999999999971134</v>
      </c>
      <c r="AD14">
        <f t="shared" si="10"/>
        <v>0.9999999999999245</v>
      </c>
      <c r="AE14">
        <f t="shared" si="10"/>
        <v>0.99999999999997824</v>
      </c>
      <c r="AF14">
        <f t="shared" si="10"/>
        <v>0.99999999999999312</v>
      </c>
      <c r="AG14">
        <f t="shared" si="10"/>
        <v>0.99999999999999756</v>
      </c>
      <c r="AH14">
        <f t="shared" si="10"/>
        <v>0.99999999999999911</v>
      </c>
      <c r="AI14">
        <f t="shared" si="10"/>
        <v>0.99999999999999956</v>
      </c>
    </row>
    <row r="15" spans="1:35">
      <c r="A15" s="5"/>
      <c r="B15" s="26" t="s">
        <v>50</v>
      </c>
      <c r="C15" s="26">
        <f ca="1">CHOOSE(C25,SUMXMY2(B14,C14),SUMXMY2(B7,C7))</f>
        <v>2.1852584143661193E-26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0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6.9550658915612429E-7</v>
      </c>
      <c r="L18" s="4">
        <f t="shared" ref="K18:O20" si="11">((EXP(g*(ah-age)/gh)/(1+EXP((ah-age)/gh))) *(1/(1-g))*((1-g)/g)^g) *(sr+(1-sr)*dmr)</f>
        <v>1.7796593889779232E-6</v>
      </c>
      <c r="M18" s="4">
        <f t="shared" si="11"/>
        <v>4.5499366343571328E-6</v>
      </c>
      <c r="N18" s="4">
        <f t="shared" si="11"/>
        <v>1.1632427530234354E-5</v>
      </c>
      <c r="O18" s="4">
        <f t="shared" si="11"/>
        <v>2.9739287925580087E-5</v>
      </c>
      <c r="P18" s="4">
        <f t="shared" ref="P18:AI18" si="12">((EXP(g*(ah-age)/gh)/(1+EXP((ah-age)/gh))) *(1/(1-g))*((1-g)/g)^g) *(sr_1+(1-sr_1)*dmr)</f>
        <v>7.602887032963758E-5</v>
      </c>
      <c r="Q18" s="4">
        <f t="shared" si="12"/>
        <v>1.9435477942245623E-4</v>
      </c>
      <c r="R18" s="4">
        <f t="shared" si="12"/>
        <v>4.9674322392758363E-4</v>
      </c>
      <c r="S18" s="4">
        <f t="shared" si="12"/>
        <v>1.2690081150531374E-3</v>
      </c>
      <c r="T18" s="4">
        <f t="shared" si="12"/>
        <v>3.2379905213052156E-3</v>
      </c>
      <c r="U18" s="4">
        <f t="shared" si="12"/>
        <v>8.2368376871169522E-3</v>
      </c>
      <c r="V18" s="4">
        <f t="shared" si="12"/>
        <v>2.0792008372629657E-2</v>
      </c>
      <c r="W18" s="4">
        <f t="shared" si="12"/>
        <v>5.1491204908949553E-2</v>
      </c>
      <c r="X18" s="4">
        <f t="shared" si="12"/>
        <v>0.12187661989811299</v>
      </c>
      <c r="Y18" s="4">
        <f t="shared" si="12"/>
        <v>0.26191103367452068</v>
      </c>
      <c r="Z18" s="4">
        <f t="shared" si="12"/>
        <v>0.4756934927991851</v>
      </c>
      <c r="AA18" s="4">
        <f t="shared" si="12"/>
        <v>0.69879031205124198</v>
      </c>
      <c r="AB18" s="4">
        <f t="shared" si="12"/>
        <v>0.85577098971353227</v>
      </c>
      <c r="AC18" s="4">
        <f t="shared" si="12"/>
        <v>0.93820466490279131</v>
      </c>
      <c r="AD18" s="4">
        <f t="shared" si="12"/>
        <v>0.97493218621753863</v>
      </c>
      <c r="AE18" s="4">
        <f t="shared" si="12"/>
        <v>0.99008666767322651</v>
      </c>
      <c r="AF18" s="4">
        <f t="shared" si="12"/>
        <v>0.99613747651752993</v>
      </c>
      <c r="AG18" s="4">
        <f t="shared" si="12"/>
        <v>0.9985186584962954</v>
      </c>
      <c r="AH18" s="4">
        <f t="shared" si="12"/>
        <v>0.99944742353154725</v>
      </c>
      <c r="AI18" s="4">
        <f t="shared" si="12"/>
        <v>0.99980545659782483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1"/>
        <v>6.9769370284580995E-3</v>
      </c>
      <c r="L19" s="4">
        <f t="shared" si="11"/>
        <v>9.0194322125440346E-2</v>
      </c>
      <c r="M19" s="4">
        <f t="shared" si="11"/>
        <v>0.61901880060648884</v>
      </c>
      <c r="N19" s="4">
        <f t="shared" si="11"/>
        <v>0.99465593445928724</v>
      </c>
      <c r="O19" s="4">
        <f t="shared" si="11"/>
        <v>0.96041218455121224</v>
      </c>
      <c r="P19" s="4">
        <f t="shared" ref="P19:Y19" si="13">((EXP(g*(ah-age)/gh)/(1+EXP((ah-age)/gh))) *(1/(1-g))*((1-g)/g)^g) *(sr_2+(1-sr_2)*dmr)</f>
        <v>0.70743533876272136</v>
      </c>
      <c r="Q19" s="4">
        <f t="shared" si="13"/>
        <v>0.6492599837541615</v>
      </c>
      <c r="R19" s="4">
        <f t="shared" si="13"/>
        <v>0.59574057607123032</v>
      </c>
      <c r="S19" s="4">
        <f t="shared" si="13"/>
        <v>0.54662506941470868</v>
      </c>
      <c r="T19" s="4">
        <f t="shared" si="13"/>
        <v>0.50155839141389946</v>
      </c>
      <c r="U19" s="4">
        <f t="shared" si="13"/>
        <v>0.46020722133927372</v>
      </c>
      <c r="V19" s="4">
        <f t="shared" si="13"/>
        <v>0.42226526227867622</v>
      </c>
      <c r="W19" s="4">
        <f t="shared" si="13"/>
        <v>0.38745144232994355</v>
      </c>
      <c r="X19" s="4">
        <f t="shared" si="13"/>
        <v>0.35550786098485632</v>
      </c>
      <c r="Y19" s="4">
        <f t="shared" si="13"/>
        <v>0.32619788033882458</v>
      </c>
      <c r="Z19" s="4">
        <f>Y19</f>
        <v>0.32619788033882458</v>
      </c>
      <c r="AA19" s="4">
        <f t="shared" ref="AA19:AI20" si="14">Z19</f>
        <v>0.32619788033882458</v>
      </c>
      <c r="AB19" s="4">
        <f t="shared" si="14"/>
        <v>0.32619788033882458</v>
      </c>
      <c r="AC19" s="4">
        <f t="shared" si="14"/>
        <v>0.32619788033882458</v>
      </c>
      <c r="AD19" s="4">
        <f t="shared" si="14"/>
        <v>0.32619788033882458</v>
      </c>
      <c r="AE19" s="4">
        <f t="shared" si="14"/>
        <v>0.32619788033882458</v>
      </c>
      <c r="AF19" s="4">
        <f t="shared" si="14"/>
        <v>0.32619788033882458</v>
      </c>
      <c r="AG19" s="4">
        <f t="shared" si="14"/>
        <v>0.32619788033882458</v>
      </c>
      <c r="AH19" s="4">
        <f t="shared" si="14"/>
        <v>0.32619788033882458</v>
      </c>
      <c r="AI19" s="4">
        <f t="shared" si="14"/>
        <v>0.32619788033882458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1"/>
        <v>6.427186273912825E-4</v>
      </c>
      <c r="L20" s="4">
        <f t="shared" si="11"/>
        <v>2.304264396173086E-3</v>
      </c>
      <c r="M20" s="4">
        <f t="shared" si="11"/>
        <v>8.2341978161840131E-3</v>
      </c>
      <c r="N20" s="4">
        <f t="shared" si="11"/>
        <v>2.9157603125779884E-2</v>
      </c>
      <c r="O20" s="4">
        <f t="shared" si="11"/>
        <v>9.9696143239982229E-2</v>
      </c>
      <c r="P20" s="4">
        <f t="shared" ref="P20:Y20" si="15">((EXP(g*(ah-age)/gh)/(1+EXP((ah-age)/gh))) *(1/(1-g))*((1-g)/g)^g) *(sr_3+(1-sr_3)*dmr)</f>
        <v>3.3247090371016599E-2</v>
      </c>
      <c r="Q20" s="4">
        <f t="shared" si="15"/>
        <v>0.52071142085930722</v>
      </c>
      <c r="R20" s="4">
        <f t="shared" si="15"/>
        <v>0.9390844473751867</v>
      </c>
      <c r="S20" s="4">
        <f t="shared" si="15"/>
        <v>0.99607472397654595</v>
      </c>
      <c r="T20" s="4">
        <f t="shared" si="15"/>
        <v>0.93522350057800274</v>
      </c>
      <c r="U20" s="4">
        <f t="shared" si="15"/>
        <v>0.8498760006410957</v>
      </c>
      <c r="V20" s="4">
        <f t="shared" si="15"/>
        <v>0.76585734156821039</v>
      </c>
      <c r="W20" s="4">
        <f t="shared" si="15"/>
        <v>0.6886827052361959</v>
      </c>
      <c r="X20" s="4">
        <f t="shared" si="15"/>
        <v>0.61895512421121124</v>
      </c>
      <c r="Y20" s="4">
        <f t="shared" si="15"/>
        <v>0.5562130005311563</v>
      </c>
      <c r="Z20" s="4">
        <f>Y20</f>
        <v>0.5562130005311563</v>
      </c>
      <c r="AA20" s="4">
        <f t="shared" si="14"/>
        <v>0.5562130005311563</v>
      </c>
      <c r="AB20" s="4">
        <f t="shared" si="14"/>
        <v>0.5562130005311563</v>
      </c>
      <c r="AC20" s="4">
        <f t="shared" si="14"/>
        <v>0.5562130005311563</v>
      </c>
      <c r="AD20" s="4">
        <f t="shared" si="14"/>
        <v>0.5562130005311563</v>
      </c>
      <c r="AE20" s="4">
        <f t="shared" si="14"/>
        <v>0.5562130005311563</v>
      </c>
      <c r="AF20" s="4">
        <f t="shared" si="14"/>
        <v>0.5562130005311563</v>
      </c>
      <c r="AG20" s="4">
        <f t="shared" si="14"/>
        <v>0.5562130005311563</v>
      </c>
      <c r="AH20" s="4">
        <f t="shared" si="14"/>
        <v>0.5562130005311563</v>
      </c>
      <c r="AI20" s="4">
        <f t="shared" si="14"/>
        <v>0.5562130005311563</v>
      </c>
    </row>
    <row r="21" spans="1:39">
      <c r="A21" t="s">
        <v>42</v>
      </c>
      <c r="B21" s="1">
        <f>Bo/phie</f>
        <v>10156.738776787859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6">wa*flt1_*(1-EXP(-za))/za</f>
        <v>4.5306959690472519E-8</v>
      </c>
      <c r="L22" s="1">
        <f t="shared" ca="1" si="16"/>
        <v>7.6301122970272374E-7</v>
      </c>
      <c r="M22" s="1">
        <f t="shared" ca="1" si="16"/>
        <v>5.8625650267129285E-6</v>
      </c>
      <c r="N22" s="1">
        <f t="shared" ca="1" si="16"/>
        <v>3.2158511271650307E-5</v>
      </c>
      <c r="O22" s="1">
        <f t="shared" ca="1" si="16"/>
        <v>1.4665570130912987E-4</v>
      </c>
      <c r="P22" s="1">
        <f t="shared" ca="1" si="16"/>
        <v>5.9471701642012755E-4</v>
      </c>
      <c r="Q22" s="1">
        <f t="shared" ca="1" si="16"/>
        <v>2.19698953759368E-3</v>
      </c>
      <c r="R22" s="1">
        <f t="shared" ca="1" si="16"/>
        <v>7.6299537976077872E-3</v>
      </c>
      <c r="S22" s="1">
        <f t="shared" ca="1" si="16"/>
        <v>2.5343190462128209E-2</v>
      </c>
      <c r="T22" s="1">
        <f t="shared" ca="1" si="16"/>
        <v>8.108105794877439E-2</v>
      </c>
      <c r="U22" s="1">
        <f t="shared" ca="1" si="16"/>
        <v>0.2509586737998582</v>
      </c>
      <c r="V22" s="1">
        <f t="shared" ca="1" si="16"/>
        <v>0.75152551520569932</v>
      </c>
      <c r="W22" s="1">
        <f t="shared" ca="1" si="16"/>
        <v>2.1593552059680419</v>
      </c>
      <c r="X22" s="1">
        <f t="shared" ca="1" si="16"/>
        <v>5.8062972578833723</v>
      </c>
      <c r="Y22" s="1">
        <f t="shared" ca="1" si="16"/>
        <v>13.87567585897192</v>
      </c>
      <c r="Z22" s="1">
        <f t="shared" ca="1" si="16"/>
        <v>27.456013629078548</v>
      </c>
      <c r="AA22" s="1">
        <f t="shared" ca="1" si="16"/>
        <v>43.432591926458386</v>
      </c>
      <c r="AB22" s="1">
        <f t="shared" ca="1" si="16"/>
        <v>57.092304379042893</v>
      </c>
      <c r="AC22" s="1">
        <f t="shared" ca="1" si="16"/>
        <v>67.090749117191748</v>
      </c>
      <c r="AD22" s="1">
        <f t="shared" ca="1" si="16"/>
        <v>74.494608537230292</v>
      </c>
      <c r="AE22" s="1">
        <f t="shared" ca="1" si="16"/>
        <v>80.471158569013511</v>
      </c>
      <c r="AF22" s="1">
        <f t="shared" ca="1" si="16"/>
        <v>85.693193810479713</v>
      </c>
      <c r="AG22" s="1">
        <f t="shared" ca="1" si="16"/>
        <v>90.477181427021193</v>
      </c>
      <c r="AH22" s="1">
        <f t="shared" ca="1" si="16"/>
        <v>94.959943857699599</v>
      </c>
      <c r="AI22" s="1">
        <f t="shared" ca="1" si="16"/>
        <v>99.198517389867817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7">wa*flt2_*(1-EXP(-za))/za</f>
        <v>4.5449433497798069E-4</v>
      </c>
      <c r="L23" s="1">
        <f t="shared" ca="1" si="17"/>
        <v>3.8669916874745032E-2</v>
      </c>
      <c r="M23" s="1">
        <f t="shared" ca="1" si="17"/>
        <v>0.79760187074036859</v>
      </c>
      <c r="N23" s="1">
        <f t="shared" ca="1" si="17"/>
        <v>2.7497832242311362</v>
      </c>
      <c r="O23" s="1">
        <f t="shared" ca="1" si="17"/>
        <v>4.7361565220948085</v>
      </c>
      <c r="P23" s="1">
        <f t="shared" ca="1" si="17"/>
        <v>5.5337378045339873</v>
      </c>
      <c r="Q23" s="1">
        <f t="shared" ca="1" si="17"/>
        <v>7.3392452489456179</v>
      </c>
      <c r="R23" s="1">
        <f t="shared" ca="1" si="17"/>
        <v>9.1505487177946581</v>
      </c>
      <c r="S23" s="1">
        <f t="shared" ca="1" si="17"/>
        <v>10.91657577380499</v>
      </c>
      <c r="T23" s="1">
        <f t="shared" ca="1" si="17"/>
        <v>12.559297110768519</v>
      </c>
      <c r="U23" s="1">
        <f t="shared" ca="1" si="17"/>
        <v>14.021521162309883</v>
      </c>
      <c r="V23" s="1">
        <f t="shared" ca="1" si="17"/>
        <v>15.262744853700543</v>
      </c>
      <c r="W23" s="1">
        <f t="shared" ca="1" si="17"/>
        <v>16.24831445553481</v>
      </c>
      <c r="X23" s="1">
        <f t="shared" ca="1" si="17"/>
        <v>16.936671858129813</v>
      </c>
      <c r="Y23" s="1">
        <f t="shared" ca="1" si="17"/>
        <v>17.281502004570036</v>
      </c>
      <c r="Z23" s="1">
        <f t="shared" ca="1" si="17"/>
        <v>18.827445790056526</v>
      </c>
      <c r="AA23" s="1">
        <f t="shared" ca="1" si="17"/>
        <v>20.274493191589876</v>
      </c>
      <c r="AB23" s="1">
        <f t="shared" ca="1" si="17"/>
        <v>21.762117314045579</v>
      </c>
      <c r="AC23" s="1">
        <f t="shared" ca="1" si="17"/>
        <v>23.326317775918685</v>
      </c>
      <c r="AD23" s="1">
        <f t="shared" ca="1" si="17"/>
        <v>24.924793483116087</v>
      </c>
      <c r="AE23" s="1">
        <f t="shared" ca="1" si="17"/>
        <v>26.512347060798096</v>
      </c>
      <c r="AF23" s="1">
        <f t="shared" ca="1" si="17"/>
        <v>28.06132570994647</v>
      </c>
      <c r="AG23" s="1">
        <f t="shared" ca="1" si="17"/>
        <v>29.557249180471953</v>
      </c>
      <c r="AH23" s="1">
        <f t="shared" ca="1" si="17"/>
        <v>30.99285832767735</v>
      </c>
      <c r="AI23" s="1">
        <f t="shared" ca="1" si="17"/>
        <v>32.364642432978002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8">wa*flt3_*(1-EXP(-za))/za</f>
        <v>4.1868225833581598E-5</v>
      </c>
      <c r="L24" s="1">
        <f t="shared" ca="1" si="18"/>
        <v>9.8793039913888875E-4</v>
      </c>
      <c r="M24" s="1">
        <f t="shared" ca="1" si="18"/>
        <v>1.0609712622298312E-2</v>
      </c>
      <c r="N24" s="1">
        <f t="shared" ca="1" si="18"/>
        <v>8.0607861629704708E-2</v>
      </c>
      <c r="O24" s="1">
        <f t="shared" ca="1" si="18"/>
        <v>0.491639471707017</v>
      </c>
      <c r="P24" s="1">
        <f t="shared" ca="1" si="18"/>
        <v>0.26006713376607388</v>
      </c>
      <c r="Q24" s="1">
        <f t="shared" ca="1" si="18"/>
        <v>5.8861302363283023</v>
      </c>
      <c r="R24" s="1">
        <f t="shared" ca="1" si="18"/>
        <v>14.424295290577071</v>
      </c>
      <c r="S24" s="1">
        <f t="shared" ca="1" si="18"/>
        <v>19.892474401704163</v>
      </c>
      <c r="T24" s="1">
        <f t="shared" ca="1" si="18"/>
        <v>23.418509210105555</v>
      </c>
      <c r="U24" s="1">
        <f t="shared" ca="1" si="18"/>
        <v>25.893888178567487</v>
      </c>
      <c r="V24" s="1">
        <f t="shared" ca="1" si="18"/>
        <v>27.68185366613157</v>
      </c>
      <c r="W24" s="1">
        <f t="shared" ca="1" si="18"/>
        <v>28.880865915675297</v>
      </c>
      <c r="X24" s="1">
        <f t="shared" ca="1" si="18"/>
        <v>29.487505015029228</v>
      </c>
      <c r="Y24" s="1">
        <f t="shared" ca="1" si="18"/>
        <v>29.467377512272062</v>
      </c>
      <c r="Z24" s="1">
        <f t="shared" ca="1" si="18"/>
        <v>32.103427846764653</v>
      </c>
      <c r="AA24" s="1">
        <f t="shared" ca="1" si="18"/>
        <v>34.570846017237308</v>
      </c>
      <c r="AB24" s="1">
        <f t="shared" ca="1" si="18"/>
        <v>37.10745317101204</v>
      </c>
      <c r="AC24" s="1">
        <f t="shared" ca="1" si="18"/>
        <v>39.774633691703812</v>
      </c>
      <c r="AD24" s="1">
        <f t="shared" ca="1" si="18"/>
        <v>42.500258298623145</v>
      </c>
      <c r="AE24" s="1">
        <f t="shared" ca="1" si="18"/>
        <v>45.207259147400229</v>
      </c>
      <c r="AF24" s="1">
        <f t="shared" ca="1" si="18"/>
        <v>47.848484348822758</v>
      </c>
      <c r="AG24" s="1">
        <f t="shared" ca="1" si="18"/>
        <v>50.399243051612913</v>
      </c>
      <c r="AH24" s="1">
        <f t="shared" ca="1" si="18"/>
        <v>52.847157398964526</v>
      </c>
      <c r="AI24" s="1">
        <f t="shared" ca="1" si="18"/>
        <v>55.186241124762127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6.4577955787172182E-7</v>
      </c>
      <c r="L26">
        <f t="shared" ref="L26:AI26" ca="1" si="19">qa1_/wa</f>
        <v>1.6501578135510405E-6</v>
      </c>
      <c r="M26">
        <f t="shared" ca="1" si="19"/>
        <v>4.1825593117648503E-6</v>
      </c>
      <c r="N26">
        <f t="shared" ca="1" si="19"/>
        <v>1.0626263606941022E-5</v>
      </c>
      <c r="O26">
        <f t="shared" ca="1" si="19"/>
        <v>2.7163926870394862E-5</v>
      </c>
      <c r="P26">
        <f t="shared" ca="1" si="19"/>
        <v>6.9773090048721136E-5</v>
      </c>
      <c r="Q26">
        <f t="shared" ca="1" si="19"/>
        <v>1.7771198769674912E-4</v>
      </c>
      <c r="R26">
        <f t="shared" ca="1" si="19"/>
        <v>4.5280282443333478E-4</v>
      </c>
      <c r="S26">
        <f t="shared" ca="1" si="19"/>
        <v>1.1569693294081354E-3</v>
      </c>
      <c r="T26">
        <f t="shared" ca="1" si="19"/>
        <v>2.9554001288544288E-3</v>
      </c>
      <c r="U26">
        <f t="shared" ca="1" si="19"/>
        <v>7.525465555418164E-3</v>
      </c>
      <c r="V26">
        <f t="shared" ca="1" si="19"/>
        <v>1.9000274246241153E-2</v>
      </c>
      <c r="W26">
        <f t="shared" ca="1" si="19"/>
        <v>4.6977229945831742E-2</v>
      </c>
      <c r="X26">
        <f t="shared" ca="1" si="19"/>
        <v>0.11058043896259971</v>
      </c>
      <c r="Y26">
        <f t="shared" ca="1" si="19"/>
        <v>0.23475280849296931</v>
      </c>
      <c r="Z26">
        <f t="shared" ca="1" si="19"/>
        <v>0.4178694036713993</v>
      </c>
      <c r="AA26">
        <f t="shared" ca="1" si="19"/>
        <v>0.601178424705196</v>
      </c>
      <c r="AB26">
        <f t="shared" ca="1" si="19"/>
        <v>0.72557564521987694</v>
      </c>
      <c r="AC26">
        <f t="shared" ca="1" si="19"/>
        <v>0.78942646736405431</v>
      </c>
      <c r="AD26">
        <f t="shared" ca="1" si="19"/>
        <v>0.81755378716570626</v>
      </c>
      <c r="AE26">
        <f t="shared" ca="1" si="19"/>
        <v>0.82910252631765324</v>
      </c>
      <c r="AF26">
        <f t="shared" ca="1" si="19"/>
        <v>0.83370436257700964</v>
      </c>
      <c r="AG26">
        <f t="shared" ca="1" si="19"/>
        <v>0.83551387729235171</v>
      </c>
      <c r="AH26">
        <f t="shared" ca="1" si="19"/>
        <v>0.83621944502689582</v>
      </c>
      <c r="AI26">
        <f t="shared" ca="1" si="19"/>
        <v>0.83649140366540353</v>
      </c>
      <c r="AM26" s="44"/>
    </row>
    <row r="27" spans="1:39">
      <c r="A27" t="s">
        <v>14</v>
      </c>
      <c r="B27" s="28">
        <f ca="1">fbar*C27</f>
        <v>0.19632860907130414</v>
      </c>
      <c r="C27" s="36">
        <f ca="1">CHOOSE(C$25,E36,E39,1)</f>
        <v>2.3646312085336034</v>
      </c>
      <c r="E27" s="42">
        <f ca="1">f1_/(F4/(f1_*365*re*phib))</f>
        <v>351.69757467529848</v>
      </c>
      <c r="J27" s="8" t="s">
        <v>31</v>
      </c>
      <c r="K27">
        <f t="shared" ref="K27:AI27" ca="1" si="20">qa2_/wa</f>
        <v>6.478102982465244E-3</v>
      </c>
      <c r="L27">
        <f t="shared" ca="1" si="20"/>
        <v>8.3631096104694672E-2</v>
      </c>
      <c r="M27">
        <f t="shared" ca="1" si="20"/>
        <v>0.56903712220598746</v>
      </c>
      <c r="N27">
        <f t="shared" ca="1" si="20"/>
        <v>0.9086217068880118</v>
      </c>
      <c r="O27">
        <f t="shared" ca="1" si="20"/>
        <v>0.87724246834253783</v>
      </c>
      <c r="P27">
        <f t="shared" ca="1" si="20"/>
        <v>0.64922639756620726</v>
      </c>
      <c r="Q27">
        <f t="shared" ca="1" si="20"/>
        <v>0.59366321007272149</v>
      </c>
      <c r="R27">
        <f t="shared" ca="1" si="20"/>
        <v>0.54304317096013432</v>
      </c>
      <c r="S27">
        <f t="shared" ca="1" si="20"/>
        <v>0.49836437804964645</v>
      </c>
      <c r="T27">
        <f t="shared" ca="1" si="20"/>
        <v>0.45778569296587973</v>
      </c>
      <c r="U27">
        <f t="shared" ca="1" si="20"/>
        <v>0.42046155625480319</v>
      </c>
      <c r="V27">
        <f t="shared" ca="1" si="20"/>
        <v>0.38587690251786261</v>
      </c>
      <c r="W27">
        <f t="shared" ca="1" si="20"/>
        <v>0.35348552303957415</v>
      </c>
      <c r="X27">
        <f t="shared" ca="1" si="20"/>
        <v>0.32255747948396257</v>
      </c>
      <c r="Y27">
        <f t="shared" ca="1" si="20"/>
        <v>0.29237358754864129</v>
      </c>
      <c r="Z27">
        <f t="shared" ca="1" si="20"/>
        <v>0.28654609701293904</v>
      </c>
      <c r="AA27">
        <f t="shared" ca="1" si="20"/>
        <v>0.28063229335367262</v>
      </c>
      <c r="AB27">
        <f t="shared" ca="1" si="20"/>
        <v>0.27657076524109264</v>
      </c>
      <c r="AC27">
        <f t="shared" ca="1" si="20"/>
        <v>0.27447021952742229</v>
      </c>
      <c r="AD27">
        <f t="shared" ca="1" si="20"/>
        <v>0.27354139724434751</v>
      </c>
      <c r="AE27">
        <f t="shared" ca="1" si="20"/>
        <v>0.27315940664463556</v>
      </c>
      <c r="AF27">
        <f t="shared" ca="1" si="20"/>
        <v>0.27300709220637942</v>
      </c>
      <c r="AG27">
        <f t="shared" ca="1" si="20"/>
        <v>0.27294718375805799</v>
      </c>
      <c r="AH27">
        <f t="shared" ca="1" si="20"/>
        <v>0.27292382174745944</v>
      </c>
      <c r="AI27">
        <f t="shared" ca="1" si="20"/>
        <v>0.27291481657422306</v>
      </c>
    </row>
    <row r="28" spans="1:39">
      <c r="A28" t="s">
        <v>15</v>
      </c>
      <c r="B28" s="28">
        <f ca="1">fbar*C28</f>
        <v>3.3359452306940388E-2</v>
      </c>
      <c r="C28" s="36">
        <f ca="1">CHOOSE(C$25,E37,E40,1)</f>
        <v>0.40178964440139364</v>
      </c>
      <c r="E28" s="42">
        <f ca="1">f2_/(F5/(f2_*365*re*phib))</f>
        <v>27.226852095521362</v>
      </c>
      <c r="J28" s="8" t="s">
        <v>32</v>
      </c>
      <c r="K28">
        <f t="shared" ref="K28:AI28" ca="1" si="21">qa3_/wa</f>
        <v>5.9676580711659185E-4</v>
      </c>
      <c r="L28">
        <f t="shared" ca="1" si="21"/>
        <v>2.1365885637342355E-3</v>
      </c>
      <c r="M28">
        <f t="shared" ca="1" si="21"/>
        <v>7.5693407444256252E-3</v>
      </c>
      <c r="N28">
        <f t="shared" ca="1" si="21"/>
        <v>2.6635573370716918E-2</v>
      </c>
      <c r="O28">
        <f t="shared" ca="1" si="21"/>
        <v>9.1062662663886379E-2</v>
      </c>
      <c r="P28">
        <f t="shared" ca="1" si="21"/>
        <v>3.0511465187594986E-2</v>
      </c>
      <c r="Q28">
        <f t="shared" ca="1" si="21"/>
        <v>0.47612238758566922</v>
      </c>
      <c r="R28">
        <f t="shared" ca="1" si="21"/>
        <v>0.85601588440568532</v>
      </c>
      <c r="S28">
        <f t="shared" ca="1" si="21"/>
        <v>0.9081328100027809</v>
      </c>
      <c r="T28">
        <f t="shared" ca="1" si="21"/>
        <v>0.85360338022292381</v>
      </c>
      <c r="U28">
        <f t="shared" ca="1" si="21"/>
        <v>0.77647670284974746</v>
      </c>
      <c r="V28">
        <f t="shared" ca="1" si="21"/>
        <v>0.69986021852745095</v>
      </c>
      <c r="W28">
        <f t="shared" ca="1" si="21"/>
        <v>0.62830935614744443</v>
      </c>
      <c r="X28">
        <f t="shared" ca="1" si="21"/>
        <v>0.56158703277662758</v>
      </c>
      <c r="Y28">
        <f t="shared" ca="1" si="21"/>
        <v>0.49853785143414053</v>
      </c>
      <c r="Z28">
        <f t="shared" ca="1" si="21"/>
        <v>0.48860116517160845</v>
      </c>
      <c r="AA28">
        <f t="shared" ca="1" si="21"/>
        <v>0.47851730296362599</v>
      </c>
      <c r="AB28">
        <f t="shared" ca="1" si="21"/>
        <v>0.47159182957951562</v>
      </c>
      <c r="AC28">
        <f t="shared" ca="1" si="21"/>
        <v>0.4680101054035648</v>
      </c>
      <c r="AD28">
        <f t="shared" ca="1" si="21"/>
        <v>0.46642633352714241</v>
      </c>
      <c r="AE28">
        <f t="shared" ca="1" si="21"/>
        <v>0.46577498613819018</v>
      </c>
      <c r="AF28">
        <f t="shared" ca="1" si="21"/>
        <v>0.46551526872175975</v>
      </c>
      <c r="AG28">
        <f t="shared" ca="1" si="21"/>
        <v>0.46541311643995026</v>
      </c>
      <c r="AH28">
        <f t="shared" ca="1" si="21"/>
        <v>0.46537328094500491</v>
      </c>
      <c r="AI28">
        <f t="shared" ca="1" si="21"/>
        <v>0.46535792586537972</v>
      </c>
    </row>
    <row r="29" spans="1:39">
      <c r="A29" t="s">
        <v>19</v>
      </c>
      <c r="B29" s="28">
        <f ca="1">fbar*C29</f>
        <v>1.9393412759604114E-2</v>
      </c>
      <c r="C29" s="36">
        <f ca="1">CHOOSE(C$25,E38,E41,1)</f>
        <v>0.23357914706500313</v>
      </c>
      <c r="E29" s="42">
        <f ca="1">f3_/(F6/(f3_*365*re*phib))</f>
        <v>12.101346815595111</v>
      </c>
    </row>
    <row r="30" spans="1:39">
      <c r="A30" t="s">
        <v>95</v>
      </c>
      <c r="B30" s="28">
        <v>8.3027158045949553E-2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0.24908147413784865</v>
      </c>
      <c r="G31">
        <f ca="1">SUMPRODUCT(dlz1_,wa,ma)</f>
        <v>-51.2313503358898</v>
      </c>
      <c r="H31">
        <f ca="1">Ro/(reck-1)*phie/phif^2*dphif</f>
        <v>-3002.8366023495169</v>
      </c>
      <c r="J31" s="8" t="s">
        <v>52</v>
      </c>
      <c r="K31">
        <v>0</v>
      </c>
      <c r="L31">
        <f t="shared" ref="L31:AH31" ca="1" si="22">K31*sa-K$7*K18*K$10</f>
        <v>-5.9848121484699515E-7</v>
      </c>
      <c r="M31">
        <f t="shared" ca="1" si="22"/>
        <v>-1.8185699350766439E-6</v>
      </c>
      <c r="N31">
        <f t="shared" ca="1" si="22"/>
        <v>-4.3453705584039653E-6</v>
      </c>
      <c r="O31">
        <f t="shared" ca="1" si="22"/>
        <v>-9.6402710293033544E-6</v>
      </c>
      <c r="P31">
        <f t="shared" ca="1" si="22"/>
        <v>-2.0913789968329481E-5</v>
      </c>
      <c r="Q31">
        <f t="shared" ca="1" si="22"/>
        <v>-4.496018600763123E-5</v>
      </c>
      <c r="R31">
        <f t="shared" ca="1" si="22"/>
        <v>-9.5909923724794795E-5</v>
      </c>
      <c r="S31">
        <f t="shared" ca="1" si="22"/>
        <v>-2.0370120142524346E-4</v>
      </c>
      <c r="T31">
        <f t="shared" ca="1" si="22"/>
        <v>-4.3220110011367484E-4</v>
      </c>
      <c r="U31">
        <f t="shared" ca="1" si="22"/>
        <v>-9.1718540286389301E-4</v>
      </c>
      <c r="V31">
        <f t="shared" ca="1" si="22"/>
        <v>-1.9441047381016242E-3</v>
      </c>
      <c r="W31">
        <f t="shared" ca="1" si="22"/>
        <v>-4.0946412675047662E-3</v>
      </c>
      <c r="X31">
        <f t="shared" ca="1" si="22"/>
        <v>-8.4594474167178982E-3</v>
      </c>
      <c r="Y31">
        <f t="shared" ca="1" si="22"/>
        <v>-1.6672276640103772E-2</v>
      </c>
      <c r="Z31">
        <f t="shared" ca="1" si="22"/>
        <v>-2.9818657570357864E-2</v>
      </c>
      <c r="AA31">
        <f t="shared" ca="1" si="22"/>
        <v>-4.5621728422520658E-2</v>
      </c>
      <c r="AB31">
        <f t="shared" ca="1" si="22"/>
        <v>-5.8075181227032618E-2</v>
      </c>
      <c r="AC31">
        <f t="shared" ca="1" si="22"/>
        <v>-6.3000928655912752E-2</v>
      </c>
      <c r="AD31">
        <f t="shared" ca="1" si="22"/>
        <v>-6.0958600466525577E-2</v>
      </c>
      <c r="AE31">
        <f t="shared" ca="1" si="22"/>
        <v>-5.4660451601009484E-2</v>
      </c>
      <c r="AF31">
        <f t="shared" ca="1" si="22"/>
        <v>-4.6584201464463418E-2</v>
      </c>
      <c r="AG31">
        <f t="shared" ca="1" si="22"/>
        <v>-3.8330721632989909E-2</v>
      </c>
      <c r="AH31">
        <f t="shared" ca="1" si="22"/>
        <v>-3.075134497609578E-2</v>
      </c>
      <c r="AI31">
        <f ca="1">(AH31*sa-AH$7*AH18*AH$10)/oa-AH$7*AH$10*flt1_*sa/oa^2</f>
        <v>-9.9988386860206321E-2</v>
      </c>
    </row>
    <row r="32" spans="1:39">
      <c r="A32" s="12" t="s">
        <v>22</v>
      </c>
      <c r="B32" s="12"/>
      <c r="C32" s="12"/>
      <c r="G32">
        <f ca="1">SUMPRODUCT(dlz2_,wa,ma)</f>
        <v>-271.14279494196438</v>
      </c>
      <c r="H32">
        <f ca="1">Ro/(reck-1)*phie/phif^2*dphif</f>
        <v>-15892.563904268189</v>
      </c>
      <c r="J32" s="8" t="s">
        <v>53</v>
      </c>
      <c r="K32">
        <v>0</v>
      </c>
      <c r="L32">
        <f t="shared" ref="L32:AH32" ca="1" si="23">K32*sa-K$7*K19*K$10</f>
        <v>-6.003632192426684E-3</v>
      </c>
      <c r="M32">
        <f t="shared" ca="1" si="23"/>
        <v>-7.1658463287630481E-2</v>
      </c>
      <c r="N32">
        <f t="shared" ca="1" si="23"/>
        <v>-0.44493154582667233</v>
      </c>
      <c r="O32">
        <f t="shared" ca="1" si="23"/>
        <v>-0.88535375135217198</v>
      </c>
      <c r="P32">
        <f t="shared" ca="1" si="23"/>
        <v>-1.1576261874826503</v>
      </c>
      <c r="Q32">
        <f t="shared" ca="1" si="23"/>
        <v>-1.2212914855994428</v>
      </c>
      <c r="R32">
        <f t="shared" ca="1" si="23"/>
        <v>-1.2077608006695491</v>
      </c>
      <c r="S32">
        <f t="shared" ca="1" si="23"/>
        <v>-1.1499348138736305</v>
      </c>
      <c r="T32">
        <f t="shared" ca="1" si="23"/>
        <v>-1.0685163369981059</v>
      </c>
      <c r="U32">
        <f t="shared" ca="1" si="23"/>
        <v>-0.97576878289022617</v>
      </c>
      <c r="V32">
        <f t="shared" ca="1" si="23"/>
        <v>-0.87851848750043549</v>
      </c>
      <c r="W32">
        <f t="shared" ca="1" si="23"/>
        <v>-0.77951544817821328</v>
      </c>
      <c r="X32">
        <f t="shared" ca="1" si="23"/>
        <v>-0.67799731016976605</v>
      </c>
      <c r="Y32">
        <f t="shared" ca="1" si="23"/>
        <v>-0.57131777167845332</v>
      </c>
      <c r="Z32">
        <f t="shared" ca="1" si="23"/>
        <v>-0.45949973428079804</v>
      </c>
      <c r="AA32">
        <f t="shared" ca="1" si="23"/>
        <v>-0.35367263955501738</v>
      </c>
      <c r="AB32">
        <f t="shared" ca="1" si="23"/>
        <v>-0.26376074250544479</v>
      </c>
      <c r="AC32">
        <f t="shared" ca="1" si="23"/>
        <v>-0.19328815265226221</v>
      </c>
      <c r="AD32">
        <f t="shared" ca="1" si="23"/>
        <v>-0.14039748934544433</v>
      </c>
      <c r="AE32">
        <f t="shared" ca="1" si="23"/>
        <v>-0.10150581097231415</v>
      </c>
      <c r="AF32">
        <f t="shared" ca="1" si="23"/>
        <v>-7.3181634559957937E-2</v>
      </c>
      <c r="AG32">
        <f t="shared" ca="1" si="23"/>
        <v>-5.2655957229852543E-2</v>
      </c>
      <c r="AH32">
        <f t="shared" ca="1" si="23"/>
        <v>-3.7826431092356699E-2</v>
      </c>
      <c r="AI32">
        <f ca="1">(AH32*sa-AH$7*AH19*AH$10)/oa-AH$7*AH$10*flt2_*sa/oa^2</f>
        <v>-9.5111145955202758E-2</v>
      </c>
    </row>
    <row r="33" spans="1:35">
      <c r="A33" s="59" t="s">
        <v>130</v>
      </c>
      <c r="B33" s="60">
        <f ca="1">SUMPRODUCT(lz,wa)</f>
        <v>76.522150494530095</v>
      </c>
      <c r="C33" s="59"/>
      <c r="D33" s="61"/>
      <c r="E33" s="61"/>
      <c r="G33">
        <f ca="1">SUMPRODUCT(dlz3_,wa,ma)</f>
        <v>-242.89307353313166</v>
      </c>
      <c r="H33">
        <f ca="1">Ro/(reck-1)*phie/phif^2*dphif</f>
        <v>-14236.755558471121</v>
      </c>
      <c r="J33" s="8" t="s">
        <v>54</v>
      </c>
      <c r="K33">
        <v>0</v>
      </c>
      <c r="L33">
        <f t="shared" ref="L33:AH33" ca="1" si="24">K33*sa-K$7*K20*K$10</f>
        <v>-5.530573411139636E-4</v>
      </c>
      <c r="M33">
        <f t="shared" ca="1" si="24"/>
        <v>-2.1676353296441516E-3</v>
      </c>
      <c r="N33">
        <f t="shared" ca="1" si="24"/>
        <v>-6.929070679814615E-3</v>
      </c>
      <c r="O33">
        <f t="shared" ca="1" si="24"/>
        <v>-2.0867116186445447E-2</v>
      </c>
      <c r="P33">
        <f t="shared" ca="1" si="24"/>
        <v>-6.0490909818864472E-2</v>
      </c>
      <c r="Q33">
        <f t="shared" ca="1" si="24"/>
        <v>-6.2471241388821833E-2</v>
      </c>
      <c r="R33">
        <f t="shared" ca="1" si="24"/>
        <v>-0.20892136264200942</v>
      </c>
      <c r="S33">
        <f t="shared" ca="1" si="24"/>
        <v>-0.40797229804291024</v>
      </c>
      <c r="T33">
        <f t="shared" ca="1" si="24"/>
        <v>-0.54532325378813151</v>
      </c>
      <c r="U33">
        <f t="shared" ca="1" si="24"/>
        <v>-0.61492291110662856</v>
      </c>
      <c r="V33">
        <f t="shared" ca="1" si="24"/>
        <v>-0.63386246053482231</v>
      </c>
      <c r="W33">
        <f t="shared" ca="1" si="24"/>
        <v>-0.61746447516693548</v>
      </c>
      <c r="X33">
        <f t="shared" ca="1" si="24"/>
        <v>-0.57486137018012828</v>
      </c>
      <c r="Y33">
        <f t="shared" ca="1" si="24"/>
        <v>-0.51021368707332648</v>
      </c>
      <c r="Z33">
        <f t="shared" ca="1" si="24"/>
        <v>-0.42757779842714627</v>
      </c>
      <c r="AA33">
        <f t="shared" ca="1" si="24"/>
        <v>-0.34170549456989363</v>
      </c>
      <c r="AB33">
        <f t="shared" ca="1" si="24"/>
        <v>-0.2636642830981839</v>
      </c>
      <c r="AC33">
        <f t="shared" ca="1" si="24"/>
        <v>-0.19921852603941351</v>
      </c>
      <c r="AD33">
        <f t="shared" ca="1" si="24"/>
        <v>-0.14872423070360183</v>
      </c>
      <c r="AE33">
        <f t="shared" ca="1" si="24"/>
        <v>-0.11020274452291101</v>
      </c>
      <c r="AF33">
        <f t="shared" ca="1" si="24"/>
        <v>-8.1232249062931333E-2</v>
      </c>
      <c r="AG33">
        <f t="shared" ca="1" si="24"/>
        <v>-5.9633367637015391E-2</v>
      </c>
      <c r="AH33">
        <f t="shared" ca="1" si="24"/>
        <v>-4.3628037259751985E-2</v>
      </c>
      <c r="AI33">
        <f ca="1">(AH33*sa-AH$7*AH20*AH$10)/oa-AH$7*AH$10*flt3_*sa/oa^2</f>
        <v>-0.11525307398963458</v>
      </c>
    </row>
    <row r="34" spans="1:35">
      <c r="A34" t="s">
        <v>28</v>
      </c>
      <c r="B34" s="1">
        <f>SUMPRODUCT(lx,wa,ma)</f>
        <v>98.456800157683801</v>
      </c>
      <c r="G34" t="s">
        <v>57</v>
      </c>
      <c r="J34" s="8"/>
    </row>
    <row r="35" spans="1:35">
      <c r="A35" t="s">
        <v>27</v>
      </c>
      <c r="B35" s="1">
        <f ca="1">SUMPRODUCT(lz,wa,ma)</f>
        <v>39.382720063058976</v>
      </c>
      <c r="F35" s="37"/>
      <c r="G35" s="1">
        <f ca="1">SUM(dqa11_)</f>
        <v>676.51236329793915</v>
      </c>
      <c r="H35" s="1">
        <f ca="1">SUM(dqa12_)</f>
        <v>679.43983453937017</v>
      </c>
      <c r="I35" s="11">
        <f ca="1">SUM(dqa13_)</f>
        <v>677.78040684467601</v>
      </c>
      <c r="J35" s="8" t="s">
        <v>62</v>
      </c>
      <c r="K35">
        <f ca="1">flt1_*qa1_+lz*wa*flt1_^2/za*(sa-oa/za)</f>
        <v>1.615003152567392E-14</v>
      </c>
      <c r="L35">
        <f t="shared" ref="L35:AI35" ca="1" si="25">flt1_*qa1_+lz*wa*flt1_^2/za*(sa-oa/za)</f>
        <v>7.8856314036592447E-13</v>
      </c>
      <c r="M35">
        <f t="shared" ca="1" si="25"/>
        <v>1.7106656855698797E-11</v>
      </c>
      <c r="N35">
        <f t="shared" ca="1" si="25"/>
        <v>2.612234921241724E-10</v>
      </c>
      <c r="O35">
        <f t="shared" ca="1" si="25"/>
        <v>3.2665282605742656E-9</v>
      </c>
      <c r="P35">
        <f t="shared" ca="1" si="25"/>
        <v>3.5756336261221554E-8</v>
      </c>
      <c r="Q35">
        <f t="shared" ca="1" si="25"/>
        <v>3.5204856546236878E-7</v>
      </c>
      <c r="R35">
        <f t="shared" ca="1" si="25"/>
        <v>3.2360701122245224E-6</v>
      </c>
      <c r="S35">
        <f t="shared" ca="1" si="25"/>
        <v>2.8265526497944825E-5</v>
      </c>
      <c r="T35">
        <f t="shared" ca="1" si="25"/>
        <v>2.3617590842245795E-4</v>
      </c>
      <c r="U35">
        <f t="shared" ca="1" si="25"/>
        <v>1.8946154323405101E-3</v>
      </c>
      <c r="V35">
        <f t="shared" ca="1" si="25"/>
        <v>1.4540292860561138E-2</v>
      </c>
      <c r="W35">
        <f t="shared" ca="1" si="25"/>
        <v>0.10475969135702812</v>
      </c>
      <c r="X35">
        <f t="shared" ca="1" si="25"/>
        <v>0.67376382939071877</v>
      </c>
      <c r="Y35">
        <f t="shared" ca="1" si="25"/>
        <v>3.4920115022205902</v>
      </c>
      <c r="Z35">
        <f t="shared" ca="1" si="25"/>
        <v>12.654806957369527</v>
      </c>
      <c r="AA35">
        <f t="shared" ca="1" si="25"/>
        <v>29.6322774211637</v>
      </c>
      <c r="AB35">
        <f t="shared" ca="1" si="25"/>
        <v>48.013801124270273</v>
      </c>
      <c r="AC35">
        <f t="shared" ca="1" si="25"/>
        <v>62.17274158299405</v>
      </c>
      <c r="AD35">
        <f t="shared" ca="1" si="25"/>
        <v>72.003862087384491</v>
      </c>
      <c r="AE35">
        <f t="shared" ca="1" si="25"/>
        <v>79.198061539166787</v>
      </c>
      <c r="AF35">
        <f t="shared" ca="1" si="25"/>
        <v>85.009092165049395</v>
      </c>
      <c r="AG35">
        <f t="shared" ca="1" si="25"/>
        <v>90.084324420415868</v>
      </c>
      <c r="AH35">
        <f t="shared" ca="1" si="25"/>
        <v>94.719231221646254</v>
      </c>
      <c r="AI35">
        <f t="shared" ca="1" si="25"/>
        <v>98.736926778361877</v>
      </c>
    </row>
    <row r="36" spans="1:35">
      <c r="A36" t="s">
        <v>33</v>
      </c>
      <c r="B36" s="1">
        <f ca="1">SUMPRODUCT(lz,ta1_)</f>
        <v>0.19451961488059491</v>
      </c>
      <c r="C36" s="29">
        <f ca="1">B11/(phi_t1/SUM(B$36:B$38))</f>
        <v>5.7812238556420983</v>
      </c>
      <c r="E36" s="38">
        <f ca="1">C36/AVERAGE(C$36:C$38)</f>
        <v>2.4005569246834737</v>
      </c>
      <c r="G36" s="1">
        <f ca="1">SUM(dqa21_)</f>
        <v>679.43983453937017</v>
      </c>
      <c r="H36" s="1">
        <f ca="1">SUM(dqa22_)</f>
        <v>140.10423500661392</v>
      </c>
      <c r="I36" s="11">
        <f ca="1">SUM(dqa23_)</f>
        <v>672.4454326521103</v>
      </c>
      <c r="J36" s="8" t="s">
        <v>63</v>
      </c>
      <c r="K36">
        <f t="shared" ref="K36:AI36" ca="1" si="26">flt2_*qa2_+lz*wa*flt2_^2/za*(sa-oa/za)</f>
        <v>1.625176310636974E-6</v>
      </c>
      <c r="L36">
        <f t="shared" ca="1" si="26"/>
        <v>2.0254479657931799E-3</v>
      </c>
      <c r="M36">
        <f t="shared" ca="1" si="26"/>
        <v>0.31663733819729223</v>
      </c>
      <c r="N36">
        <f t="shared" ca="1" si="26"/>
        <v>1.9099292333042306</v>
      </c>
      <c r="O36">
        <f t="shared" ca="1" si="26"/>
        <v>3.406752718131961</v>
      </c>
      <c r="P36">
        <f t="shared" ca="1" si="26"/>
        <v>3.0957753553023752</v>
      </c>
      <c r="Q36">
        <f t="shared" ca="1" si="26"/>
        <v>3.9287048430387488</v>
      </c>
      <c r="R36">
        <f t="shared" ca="1" si="26"/>
        <v>4.6544501280832895</v>
      </c>
      <c r="S36">
        <f t="shared" ca="1" si="26"/>
        <v>5.2445396334189951</v>
      </c>
      <c r="T36">
        <f t="shared" ca="1" si="26"/>
        <v>5.6666638398589644</v>
      </c>
      <c r="U36">
        <f t="shared" ca="1" si="26"/>
        <v>5.9143485165901426</v>
      </c>
      <c r="V36">
        <f t="shared" ca="1" si="26"/>
        <v>5.997233831905997</v>
      </c>
      <c r="W36">
        <f t="shared" ca="1" si="26"/>
        <v>5.9314744635033083</v>
      </c>
      <c r="X36">
        <f t="shared" ca="1" si="26"/>
        <v>5.7327804110791822</v>
      </c>
      <c r="Y36">
        <f t="shared" ca="1" si="26"/>
        <v>5.4166446536754584</v>
      </c>
      <c r="Z36">
        <f t="shared" ca="1" si="26"/>
        <v>5.9506358274510953</v>
      </c>
      <c r="AA36">
        <f t="shared" ca="1" si="26"/>
        <v>6.457041081488466</v>
      </c>
      <c r="AB36">
        <f t="shared" ca="1" si="26"/>
        <v>6.9761086918949156</v>
      </c>
      <c r="AC36">
        <f t="shared" ca="1" si="26"/>
        <v>7.5156597737196567</v>
      </c>
      <c r="AD36">
        <f t="shared" ca="1" si="26"/>
        <v>8.0606347777760003</v>
      </c>
      <c r="AE36">
        <f t="shared" ca="1" si="26"/>
        <v>8.5966727808420487</v>
      </c>
      <c r="AF36">
        <f t="shared" ca="1" si="26"/>
        <v>9.1156803703767473</v>
      </c>
      <c r="AG36">
        <f t="shared" ca="1" si="26"/>
        <v>9.6138894977451308</v>
      </c>
      <c r="AH36">
        <f t="shared" ca="1" si="26"/>
        <v>10.089752849344697</v>
      </c>
      <c r="AI36">
        <f t="shared" ca="1" si="26"/>
        <v>10.51019731674311</v>
      </c>
    </row>
    <row r="37" spans="1:35">
      <c r="A37" t="s">
        <v>34</v>
      </c>
      <c r="B37" s="1">
        <f ca="1">SUMPRODUCT(lz,ta2_)</f>
        <v>2.6883780745756698</v>
      </c>
      <c r="C37" s="29">
        <f ca="1">B12/(phi_t2/SUM(B$36:B$38))</f>
        <v>0.89589468275260042</v>
      </c>
      <c r="E37" s="38">
        <f ca="1">C37/AVERAGE(C$36:C$38)</f>
        <v>0.37200534664817864</v>
      </c>
      <c r="G37" s="1">
        <f ca="1">SUM(dqa31_)</f>
        <v>677.78040684467601</v>
      </c>
      <c r="H37" s="1">
        <f ca="1">SUM(dqa32_)</f>
        <v>672.4454326521103</v>
      </c>
      <c r="I37" s="1">
        <f ca="1">SUM(dqa33_)</f>
        <v>384.01059796438648</v>
      </c>
      <c r="J37" s="8" t="s">
        <v>64</v>
      </c>
      <c r="K37">
        <f t="shared" ref="K37:AI37" ca="1" si="27">flt3_*qa3_+lz*wa*flt3_^2/za*(sa-oa/za)</f>
        <v>1.3791536419522888E-8</v>
      </c>
      <c r="L37">
        <f t="shared" ca="1" si="27"/>
        <v>1.3219873874354417E-6</v>
      </c>
      <c r="M37">
        <f t="shared" ca="1" si="27"/>
        <v>5.602695754293826E-5</v>
      </c>
      <c r="N37">
        <f t="shared" ca="1" si="27"/>
        <v>1.6412515924449026E-3</v>
      </c>
      <c r="O37">
        <f t="shared" ca="1" si="27"/>
        <v>3.6709798818071494E-2</v>
      </c>
      <c r="P37">
        <f t="shared" ca="1" si="27"/>
        <v>6.837592670694977E-3</v>
      </c>
      <c r="Q37">
        <f t="shared" ca="1" si="27"/>
        <v>2.5270063637220455</v>
      </c>
      <c r="R37">
        <f t="shared" ca="1" si="27"/>
        <v>11.565470768543079</v>
      </c>
      <c r="S37">
        <f t="shared" ca="1" si="27"/>
        <v>17.414544533305165</v>
      </c>
      <c r="T37">
        <f t="shared" ca="1" si="27"/>
        <v>19.702224847468589</v>
      </c>
      <c r="U37">
        <f t="shared" ca="1" si="27"/>
        <v>20.170245562163988</v>
      </c>
      <c r="V37">
        <f t="shared" ca="1" si="27"/>
        <v>19.727680737170942</v>
      </c>
      <c r="W37">
        <f t="shared" ca="1" si="27"/>
        <v>18.739864857161596</v>
      </c>
      <c r="X37">
        <f t="shared" ca="1" si="27"/>
        <v>17.377416714613179</v>
      </c>
      <c r="Y37">
        <f t="shared" ca="1" si="27"/>
        <v>15.748904426853185</v>
      </c>
      <c r="Z37">
        <f t="shared" ca="1" si="27"/>
        <v>17.301484759932482</v>
      </c>
      <c r="AA37">
        <f t="shared" ca="1" si="27"/>
        <v>18.773858979954323</v>
      </c>
      <c r="AB37">
        <f t="shared" ca="1" si="27"/>
        <v>20.283049024721109</v>
      </c>
      <c r="AC37">
        <f t="shared" ca="1" si="27"/>
        <v>21.851794800816503</v>
      </c>
      <c r="AD37">
        <f t="shared" ca="1" si="27"/>
        <v>23.43631064091014</v>
      </c>
      <c r="AE37">
        <f t="shared" ca="1" si="27"/>
        <v>24.994842133966479</v>
      </c>
      <c r="AF37">
        <f t="shared" ca="1" si="27"/>
        <v>26.503857667936771</v>
      </c>
      <c r="AG37">
        <f t="shared" ca="1" si="27"/>
        <v>27.95240163439145</v>
      </c>
      <c r="AH37">
        <f t="shared" ca="1" si="27"/>
        <v>29.335975216147158</v>
      </c>
      <c r="AI37">
        <f t="shared" ca="1" si="27"/>
        <v>30.558418288790602</v>
      </c>
    </row>
    <row r="38" spans="1:35">
      <c r="A38" t="s">
        <v>35</v>
      </c>
      <c r="B38" s="1">
        <f ca="1">SUMPRODUCT(lz,ta3_)</f>
        <v>1.4375797303455073</v>
      </c>
      <c r="C38" s="29">
        <f ca="1">B13/(phi_t3/SUM(B$36:B$38))</f>
        <v>0.5477347398557858</v>
      </c>
      <c r="E38" s="38">
        <f ca="1">C38/AVERAGE(C$36:C$38)</f>
        <v>0.22743772866834788</v>
      </c>
      <c r="G38" t="s">
        <v>69</v>
      </c>
      <c r="J38" s="8" t="s">
        <v>60</v>
      </c>
      <c r="K38">
        <f t="shared" ref="K38:AI38" ca="1" si="28">flt1_*qa1_+lz*wa*flt2_*flt1_/za*(sa-oa/za)</f>
        <v>-1.5406411877805536E-10</v>
      </c>
      <c r="L38">
        <f t="shared" ca="1" si="28"/>
        <v>-2.8853018026107878E-8</v>
      </c>
      <c r="M38">
        <f t="shared" ca="1" si="28"/>
        <v>-1.3016509269288396E-6</v>
      </c>
      <c r="N38">
        <f t="shared" ca="1" si="28"/>
        <v>-9.6497989854023639E-6</v>
      </c>
      <c r="O38">
        <f t="shared" ca="1" si="28"/>
        <v>-3.5355021029970784E-5</v>
      </c>
      <c r="P38">
        <f t="shared" ca="1" si="28"/>
        <v>-8.7972164225823293E-5</v>
      </c>
      <c r="Q38">
        <f t="shared" ca="1" si="28"/>
        <v>-2.4993984268429584E-4</v>
      </c>
      <c r="R38">
        <f t="shared" ca="1" si="28"/>
        <v>-6.6068732990952231E-4</v>
      </c>
      <c r="S38">
        <f t="shared" ca="1" si="28"/>
        <v>-1.6456909155945392E-3</v>
      </c>
      <c r="T38">
        <f t="shared" ca="1" si="28"/>
        <v>-3.821159545208638E-3</v>
      </c>
      <c r="U38">
        <f t="shared" ca="1" si="28"/>
        <v>-7.5702506667673485E-3</v>
      </c>
      <c r="V38">
        <f t="shared" ca="1" si="28"/>
        <v>-6.418331557890275E-3</v>
      </c>
      <c r="W38">
        <f t="shared" ca="1" si="28"/>
        <v>6.2818754572226465E-2</v>
      </c>
      <c r="X38">
        <f t="shared" ca="1" si="28"/>
        <v>0.60880216370761442</v>
      </c>
      <c r="Y38">
        <f t="shared" ca="1" si="28"/>
        <v>3.4571127247109028</v>
      </c>
      <c r="Z38">
        <f t="shared" ca="1" si="28"/>
        <v>12.782349818214337</v>
      </c>
      <c r="AA38">
        <f t="shared" ca="1" si="28"/>
        <v>30.015110812085201</v>
      </c>
      <c r="AB38">
        <f t="shared" ca="1" si="28"/>
        <v>48.536174635304242</v>
      </c>
      <c r="AC38">
        <f t="shared" ca="1" si="28"/>
        <v>62.676403448038627</v>
      </c>
      <c r="AD38">
        <f t="shared" ca="1" si="28"/>
        <v>72.418634745594275</v>
      </c>
      <c r="AE38">
        <f t="shared" ca="1" si="28"/>
        <v>79.516807341859945</v>
      </c>
      <c r="AF38">
        <f t="shared" ca="1" si="28"/>
        <v>85.246571585989003</v>
      </c>
      <c r="AG38">
        <f t="shared" ca="1" si="28"/>
        <v>90.258598965912171</v>
      </c>
      <c r="AH38">
        <f t="shared" ca="1" si="28"/>
        <v>94.846033787562646</v>
      </c>
      <c r="AI38">
        <f t="shared" ca="1" si="28"/>
        <v>99.034916123319334</v>
      </c>
    </row>
    <row r="39" spans="1:35">
      <c r="A39" s="1" t="s">
        <v>36</v>
      </c>
      <c r="B39" s="1">
        <f ca="1">SUMPRODUCT(lz,qa1_)</f>
        <v>14.963934918488892</v>
      </c>
      <c r="C39" s="23">
        <f ca="1">B4/(phi_q1/SUM(B$39:B$41))</f>
        <v>3.6616943380559541</v>
      </c>
      <c r="D39" s="21"/>
      <c r="E39" s="39">
        <f ca="1">C39/AVERAGE(C$39:C$41)</f>
        <v>2.3646312085336034</v>
      </c>
      <c r="G39" s="1">
        <f ca="1">re*phi_q1+f1_*phi_q1*$H31+f1_*re*G35</f>
        <v>1287487.6115861377</v>
      </c>
      <c r="H39" s="1">
        <f ca="1">re*phi_q1+f1_*phi_q1*$H32+f1_*re*H35</f>
        <v>1254661.0644500882</v>
      </c>
      <c r="I39" s="1">
        <f ca="1">re*phi_q1+f1_*phi_q1*$H33+f1_*re*I35</f>
        <v>1256667.8095245671</v>
      </c>
      <c r="J39" s="8" t="s">
        <v>66</v>
      </c>
      <c r="K39">
        <f t="shared" ref="K39:AI39" ca="1" si="29">flt1_*qa1_+lz*wa*flt3_*flt1_/za*(sa-oa/za)</f>
        <v>-1.4163848571598393E-11</v>
      </c>
      <c r="L39">
        <f t="shared" ca="1" si="29"/>
        <v>-7.358072512516192E-10</v>
      </c>
      <c r="M39">
        <f t="shared" ca="1" si="29"/>
        <v>-1.7288261613558125E-8</v>
      </c>
      <c r="N39">
        <f t="shared" ca="1" si="29"/>
        <v>-2.8251360516798464E-7</v>
      </c>
      <c r="O39">
        <f t="shared" ca="1" si="29"/>
        <v>-3.666139746513179E-6</v>
      </c>
      <c r="P39">
        <f t="shared" ca="1" si="29"/>
        <v>-4.0913062536926508E-6</v>
      </c>
      <c r="Q39">
        <f t="shared" ca="1" si="29"/>
        <v>-2.0036910362788556E-4</v>
      </c>
      <c r="R39">
        <f t="shared" ca="1" si="29"/>
        <v>-1.0436464095901154E-3</v>
      </c>
      <c r="S39">
        <f t="shared" ca="1" si="29"/>
        <v>-3.0252651021490224E-3</v>
      </c>
      <c r="T39">
        <f t="shared" ca="1" si="29"/>
        <v>-7.3520702188688879E-3</v>
      </c>
      <c r="U39">
        <f t="shared" ca="1" si="29"/>
        <v>-1.5730437600460379E-2</v>
      </c>
      <c r="V39">
        <f t="shared" ca="1" si="29"/>
        <v>-2.4355310604243802E-2</v>
      </c>
      <c r="W39">
        <f t="shared" ca="1" si="29"/>
        <v>2.5213347896300531E-2</v>
      </c>
      <c r="X39">
        <f t="shared" ca="1" si="29"/>
        <v>0.53555008937357829</v>
      </c>
      <c r="Y39">
        <f t="shared" ca="1" si="29"/>
        <v>3.3322466452565274</v>
      </c>
      <c r="Z39">
        <f t="shared" ca="1" si="29"/>
        <v>12.586111373593283</v>
      </c>
      <c r="AA39">
        <f t="shared" ca="1" si="29"/>
        <v>29.778773568138138</v>
      </c>
      <c r="AB39">
        <f t="shared" ca="1" si="29"/>
        <v>48.309286593221366</v>
      </c>
      <c r="AC39">
        <f t="shared" ca="1" si="29"/>
        <v>62.487108415129704</v>
      </c>
      <c r="AD39">
        <f t="shared" ca="1" si="29"/>
        <v>72.271573025617258</v>
      </c>
      <c r="AE39">
        <f t="shared" ca="1" si="29"/>
        <v>79.406372649309034</v>
      </c>
      <c r="AF39">
        <f t="shared" ca="1" si="29"/>
        <v>85.165036089561866</v>
      </c>
      <c r="AG39">
        <f t="shared" ca="1" si="29"/>
        <v>90.198975967737624</v>
      </c>
      <c r="AH39">
        <f t="shared" ca="1" si="29"/>
        <v>94.802711801332038</v>
      </c>
      <c r="AI39">
        <f t="shared" ca="1" si="29"/>
        <v>98.933162435545981</v>
      </c>
    </row>
    <row r="40" spans="1:35">
      <c r="A40" s="1" t="s">
        <v>37</v>
      </c>
      <c r="B40" s="1">
        <f ca="1">SUMPRODUCT(lz,qa2_)</f>
        <v>32.843775433536948</v>
      </c>
      <c r="C40" s="23">
        <f ca="1">B5/(phi_q2/SUM(B$39:B$41))</f>
        <v>0.622181954075817</v>
      </c>
      <c r="D40" s="21"/>
      <c r="E40" s="39">
        <f ca="1">C40/AVERAGE(C$39:C$41)</f>
        <v>0.40178964440139359</v>
      </c>
      <c r="G40" s="1">
        <f ca="1">re*phi_q1+f1_*phi_q1*$H32+f1_*re*G36</f>
        <v>1254661.0644500882</v>
      </c>
      <c r="H40" s="1">
        <f ca="1">re*phi_q2+f2_*phi_q2*$H32+f2_*re*H36</f>
        <v>311681.31374489347</v>
      </c>
      <c r="I40" s="1">
        <f ca="1">re*phi_q3+f3_*phi_q3*$H33+f3_*re*I36</f>
        <v>479354.26503402606</v>
      </c>
      <c r="J40" s="8" t="s">
        <v>65</v>
      </c>
      <c r="K40">
        <f t="shared" ref="K40:AI40" ca="1" si="30">flt1_*qa1_+lz*wa*flt1_*flt2_/za*(sa-oa/za)</f>
        <v>-1.5406411877805533E-10</v>
      </c>
      <c r="L40">
        <f t="shared" ca="1" si="30"/>
        <v>-2.8853018026107878E-8</v>
      </c>
      <c r="M40">
        <f t="shared" ca="1" si="30"/>
        <v>-1.3016509269288396E-6</v>
      </c>
      <c r="N40">
        <f t="shared" ca="1" si="30"/>
        <v>-9.6497989854023639E-6</v>
      </c>
      <c r="O40">
        <f t="shared" ca="1" si="30"/>
        <v>-3.5355021029970784E-5</v>
      </c>
      <c r="P40">
        <f t="shared" ca="1" si="30"/>
        <v>-8.7972164225823293E-5</v>
      </c>
      <c r="Q40">
        <f t="shared" ca="1" si="30"/>
        <v>-2.4993984268429574E-4</v>
      </c>
      <c r="R40">
        <f t="shared" ca="1" si="30"/>
        <v>-6.6068732990952231E-4</v>
      </c>
      <c r="S40">
        <f t="shared" ca="1" si="30"/>
        <v>-1.6456909155945394E-3</v>
      </c>
      <c r="T40">
        <f t="shared" ca="1" si="30"/>
        <v>-3.821159545208638E-3</v>
      </c>
      <c r="U40">
        <f t="shared" ca="1" si="30"/>
        <v>-7.5702506667673468E-3</v>
      </c>
      <c r="V40">
        <f t="shared" ca="1" si="30"/>
        <v>-6.418331557890275E-3</v>
      </c>
      <c r="W40">
        <f t="shared" ca="1" si="30"/>
        <v>6.2818754572226465E-2</v>
      </c>
      <c r="X40">
        <f t="shared" ca="1" si="30"/>
        <v>0.60880216370761442</v>
      </c>
      <c r="Y40">
        <f t="shared" ca="1" si="30"/>
        <v>3.4571127247109028</v>
      </c>
      <c r="Z40">
        <f t="shared" ca="1" si="30"/>
        <v>12.782349818214337</v>
      </c>
      <c r="AA40">
        <f t="shared" ca="1" si="30"/>
        <v>30.015110812085201</v>
      </c>
      <c r="AB40">
        <f t="shared" ca="1" si="30"/>
        <v>48.536174635304242</v>
      </c>
      <c r="AC40">
        <f t="shared" ca="1" si="30"/>
        <v>62.676403448038627</v>
      </c>
      <c r="AD40">
        <f t="shared" ca="1" si="30"/>
        <v>72.418634745594275</v>
      </c>
      <c r="AE40">
        <f t="shared" ca="1" si="30"/>
        <v>79.516807341859945</v>
      </c>
      <c r="AF40">
        <f t="shared" ca="1" si="30"/>
        <v>85.246571585989003</v>
      </c>
      <c r="AG40">
        <f t="shared" ca="1" si="30"/>
        <v>90.258598965912171</v>
      </c>
      <c r="AH40">
        <f t="shared" ca="1" si="30"/>
        <v>94.846033787562646</v>
      </c>
      <c r="AI40">
        <f t="shared" ca="1" si="30"/>
        <v>99.034916123319334</v>
      </c>
    </row>
    <row r="41" spans="1:35">
      <c r="A41" s="1" t="s">
        <v>38</v>
      </c>
      <c r="B41" s="1">
        <f ca="1">SUMPRODUCT(lz,qa3_)</f>
        <v>42.958798629080235</v>
      </c>
      <c r="C41" s="23">
        <f ca="1">B6/(phi_q3/SUM(B$39:B$41))</f>
        <v>0.36170352366543523</v>
      </c>
      <c r="D41" s="21"/>
      <c r="E41" s="39">
        <f ca="1">C41/AVERAGE(C$39:C$41)</f>
        <v>0.23357914706500313</v>
      </c>
      <c r="G41" s="1">
        <f ca="1">re*phi_q1+f1_*phi_q1*$H33+f1_*re*G37</f>
        <v>1256667.8095245671</v>
      </c>
      <c r="H41" s="1">
        <f ca="1">re*phi_q3+f3_*phi_q3*$H33+f3_*re*H37</f>
        <v>479354.26503402606</v>
      </c>
      <c r="I41" s="1">
        <f ca="1">re*phi_q3+f1_*phi_q3*$H33+f3_*re*I37</f>
        <v>322075.04134176136</v>
      </c>
      <c r="J41" s="8" t="s">
        <v>67</v>
      </c>
      <c r="K41">
        <f t="shared" ref="K41:AI41" ca="1" si="31">flt1_*qa1_+lz*wa*flt3_*flt2_/za*(sa-oa/za)</f>
        <v>-1.4239995921181847E-7</v>
      </c>
      <c r="L41">
        <f t="shared" ca="1" si="31"/>
        <v>-3.7360019066422081E-5</v>
      </c>
      <c r="M41">
        <f t="shared" ca="1" si="31"/>
        <v>-2.3556967055557978E-3</v>
      </c>
      <c r="N41">
        <f t="shared" ca="1" si="31"/>
        <v>-2.4188924564415116E-2</v>
      </c>
      <c r="O41">
        <f t="shared" ca="1" si="31"/>
        <v>-0.11853659503660259</v>
      </c>
      <c r="P41">
        <f t="shared" ca="1" si="31"/>
        <v>-3.8489567620798616E-2</v>
      </c>
      <c r="Q41">
        <f t="shared" ca="1" si="31"/>
        <v>-0.67077737631442214</v>
      </c>
      <c r="R41">
        <f t="shared" ca="1" si="31"/>
        <v>-1.2561793164630772</v>
      </c>
      <c r="S41">
        <f t="shared" ca="1" si="31"/>
        <v>-1.3169535853605367</v>
      </c>
      <c r="T41">
        <f t="shared" ca="1" si="31"/>
        <v>-1.1792256260545313</v>
      </c>
      <c r="U41">
        <f t="shared" ca="1" si="31"/>
        <v>-0.9923142738334666</v>
      </c>
      <c r="V41">
        <f t="shared" ca="1" si="31"/>
        <v>-0.79634982370628415</v>
      </c>
      <c r="W41">
        <f t="shared" ca="1" si="31"/>
        <v>-0.53573677661859975</v>
      </c>
      <c r="X41">
        <f t="shared" ca="1" si="31"/>
        <v>0.20563975968551695</v>
      </c>
      <c r="Y41">
        <f t="shared" ca="1" si="31"/>
        <v>3.2581331057037994</v>
      </c>
      <c r="Z41">
        <f t="shared" ca="1" si="31"/>
        <v>12.735243111573075</v>
      </c>
      <c r="AA41">
        <f t="shared" ca="1" si="31"/>
        <v>30.083495750738102</v>
      </c>
      <c r="AB41">
        <f t="shared" ca="1" si="31"/>
        <v>48.648806092553144</v>
      </c>
      <c r="AC41">
        <f t="shared" ca="1" si="31"/>
        <v>62.785703474064512</v>
      </c>
      <c r="AD41">
        <f t="shared" ca="1" si="31"/>
        <v>72.508206863357501</v>
      </c>
      <c r="AE41">
        <f t="shared" ca="1" si="31"/>
        <v>79.58543834639525</v>
      </c>
      <c r="AF41">
        <f t="shared" ca="1" si="31"/>
        <v>85.29763740654775</v>
      </c>
      <c r="AG41">
        <f t="shared" ca="1" si="31"/>
        <v>90.296053540642149</v>
      </c>
      <c r="AH41">
        <f t="shared" ca="1" si="31"/>
        <v>94.873280031338766</v>
      </c>
      <c r="AI41">
        <f t="shared" ca="1" si="31"/>
        <v>99.098940234208044</v>
      </c>
    </row>
    <row r="42" spans="1:35">
      <c r="A42" s="1" t="s">
        <v>96</v>
      </c>
      <c r="B42" s="1">
        <f ca="1">SUMPRODUCT(lz/SUM(lz),len,ta1_)</f>
        <v>4.7020211586752723</v>
      </c>
      <c r="J42" s="8" t="s">
        <v>68</v>
      </c>
      <c r="K42">
        <f t="shared" ref="K42:AI42" ca="1" si="32">flt1_*qa1_+lz*wa*flt1_*flt3_/za*(sa-oa/za)</f>
        <v>-1.4163848571598393E-11</v>
      </c>
      <c r="L42">
        <f t="shared" ca="1" si="32"/>
        <v>-7.358072512516192E-10</v>
      </c>
      <c r="M42">
        <f t="shared" ca="1" si="32"/>
        <v>-1.7288261613558125E-8</v>
      </c>
      <c r="N42">
        <f t="shared" ca="1" si="32"/>
        <v>-2.8251360516798464E-7</v>
      </c>
      <c r="O42">
        <f t="shared" ca="1" si="32"/>
        <v>-3.666139746513179E-6</v>
      </c>
      <c r="P42">
        <f t="shared" ca="1" si="32"/>
        <v>-4.0913062536926508E-6</v>
      </c>
      <c r="Q42">
        <f t="shared" ca="1" si="32"/>
        <v>-2.0036910362788556E-4</v>
      </c>
      <c r="R42">
        <f t="shared" ca="1" si="32"/>
        <v>-1.0436464095901156E-3</v>
      </c>
      <c r="S42">
        <f t="shared" ca="1" si="32"/>
        <v>-3.0252651021490228E-3</v>
      </c>
      <c r="T42">
        <f t="shared" ca="1" si="32"/>
        <v>-7.3520702188688879E-3</v>
      </c>
      <c r="U42">
        <f t="shared" ca="1" si="32"/>
        <v>-1.5730437600460379E-2</v>
      </c>
      <c r="V42">
        <f t="shared" ca="1" si="32"/>
        <v>-2.4355310604243802E-2</v>
      </c>
      <c r="W42">
        <f t="shared" ca="1" si="32"/>
        <v>2.5213347896300559E-2</v>
      </c>
      <c r="X42">
        <f t="shared" ca="1" si="32"/>
        <v>0.53555008937357829</v>
      </c>
      <c r="Y42">
        <f t="shared" ca="1" si="32"/>
        <v>3.3322466452565274</v>
      </c>
      <c r="Z42">
        <f t="shared" ca="1" si="32"/>
        <v>12.586111373593283</v>
      </c>
      <c r="AA42">
        <f t="shared" ca="1" si="32"/>
        <v>29.778773568138138</v>
      </c>
      <c r="AB42">
        <f t="shared" ca="1" si="32"/>
        <v>48.309286593221366</v>
      </c>
      <c r="AC42">
        <f t="shared" ca="1" si="32"/>
        <v>62.487108415129704</v>
      </c>
      <c r="AD42">
        <f t="shared" ca="1" si="32"/>
        <v>72.271573025617258</v>
      </c>
      <c r="AE42">
        <f t="shared" ca="1" si="32"/>
        <v>79.406372649309034</v>
      </c>
      <c r="AF42">
        <f t="shared" ca="1" si="32"/>
        <v>85.165036089561866</v>
      </c>
      <c r="AG42">
        <f t="shared" ca="1" si="32"/>
        <v>90.198975967737624</v>
      </c>
      <c r="AH42">
        <f t="shared" ca="1" si="32"/>
        <v>94.802711801332038</v>
      </c>
      <c r="AI42">
        <f t="shared" ca="1" si="32"/>
        <v>98.933162435545981</v>
      </c>
    </row>
    <row r="43" spans="1:35">
      <c r="A43" s="1"/>
      <c r="B43" s="1"/>
      <c r="J43" s="8" t="s">
        <v>61</v>
      </c>
      <c r="K43">
        <f t="shared" ref="K43:AI43" ca="1" si="33">flt1_*qa1_+lz*wa*flt2_*flt3_/za*(sa-oa/za)</f>
        <v>-1.423999592118185E-7</v>
      </c>
      <c r="L43">
        <f t="shared" ca="1" si="33"/>
        <v>-3.7360019066422081E-5</v>
      </c>
      <c r="M43">
        <f t="shared" ca="1" si="33"/>
        <v>-2.3556967055557978E-3</v>
      </c>
      <c r="N43">
        <f t="shared" ca="1" si="33"/>
        <v>-2.4188924564415116E-2</v>
      </c>
      <c r="O43">
        <f t="shared" ca="1" si="33"/>
        <v>-0.11853659503660259</v>
      </c>
      <c r="P43">
        <f t="shared" ca="1" si="33"/>
        <v>-3.8489567620798609E-2</v>
      </c>
      <c r="Q43">
        <f t="shared" ca="1" si="33"/>
        <v>-0.67077737631442214</v>
      </c>
      <c r="R43">
        <f t="shared" ca="1" si="33"/>
        <v>-1.2561793164630772</v>
      </c>
      <c r="S43">
        <f t="shared" ca="1" si="33"/>
        <v>-1.3169535853605367</v>
      </c>
      <c r="T43">
        <f t="shared" ca="1" si="33"/>
        <v>-1.1792256260545313</v>
      </c>
      <c r="U43">
        <f t="shared" ca="1" si="33"/>
        <v>-0.9923142738334666</v>
      </c>
      <c r="V43">
        <f t="shared" ca="1" si="33"/>
        <v>-0.79634982370628415</v>
      </c>
      <c r="W43">
        <f t="shared" ca="1" si="33"/>
        <v>-0.53573677661859975</v>
      </c>
      <c r="X43">
        <f t="shared" ca="1" si="33"/>
        <v>0.20563975968551695</v>
      </c>
      <c r="Y43">
        <f t="shared" ca="1" si="33"/>
        <v>3.2581331057037994</v>
      </c>
      <c r="Z43">
        <f t="shared" ca="1" si="33"/>
        <v>12.735243111573075</v>
      </c>
      <c r="AA43">
        <f t="shared" ca="1" si="33"/>
        <v>30.083495750738102</v>
      </c>
      <c r="AB43">
        <f t="shared" ca="1" si="33"/>
        <v>48.648806092553144</v>
      </c>
      <c r="AC43">
        <f t="shared" ca="1" si="33"/>
        <v>62.785703474064512</v>
      </c>
      <c r="AD43">
        <f t="shared" ca="1" si="33"/>
        <v>72.508206863357501</v>
      </c>
      <c r="AE43">
        <f t="shared" ca="1" si="33"/>
        <v>79.58543834639525</v>
      </c>
      <c r="AF43">
        <f t="shared" ca="1" si="33"/>
        <v>85.29763740654775</v>
      </c>
      <c r="AG43">
        <f t="shared" ca="1" si="33"/>
        <v>90.296053540642149</v>
      </c>
      <c r="AH43">
        <f t="shared" ca="1" si="33"/>
        <v>94.873280031338766</v>
      </c>
      <c r="AI43">
        <f t="shared" ca="1" si="33"/>
        <v>99.098940234208044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0.39999999999985225</v>
      </c>
      <c r="G46" s="32" t="s">
        <v>94</v>
      </c>
      <c r="H46" s="32"/>
      <c r="I46" s="32"/>
      <c r="J46" s="8" t="s">
        <v>75</v>
      </c>
      <c r="K46">
        <f t="shared" ref="K46:AI46" ca="1" si="34">lz*qa1_</f>
        <v>4.5306959690472519E-8</v>
      </c>
      <c r="L46">
        <f t="shared" ca="1" si="34"/>
        <v>6.5656874401211374E-7</v>
      </c>
      <c r="M46">
        <f t="shared" ca="1" si="34"/>
        <v>4.32878978556648E-6</v>
      </c>
      <c r="N46">
        <f t="shared" ca="1" si="34"/>
        <v>2.0016705968468057E-5</v>
      </c>
      <c r="O46">
        <f t="shared" ca="1" si="34"/>
        <v>7.5961665871236486E-5</v>
      </c>
      <c r="P46">
        <f t="shared" ca="1" si="34"/>
        <v>2.5627439428138518E-4</v>
      </c>
      <c r="Q46">
        <f t="shared" ca="1" si="34"/>
        <v>7.9532193865800417E-4</v>
      </c>
      <c r="R46">
        <f t="shared" ca="1" si="34"/>
        <v>2.302947859356187E-3</v>
      </c>
      <c r="S46">
        <f t="shared" ca="1" si="34"/>
        <v>6.3371878098646833E-3</v>
      </c>
      <c r="T46">
        <f t="shared" ca="1" si="34"/>
        <v>1.680325906768497E-2</v>
      </c>
      <c r="U46">
        <f t="shared" ca="1" si="34"/>
        <v>4.3202880470721308E-2</v>
      </c>
      <c r="V46">
        <f t="shared" ca="1" si="34"/>
        <v>0.10769171649131518</v>
      </c>
      <c r="W46">
        <f t="shared" ca="1" si="34"/>
        <v>0.25767813214903046</v>
      </c>
      <c r="X46">
        <f t="shared" ca="1" si="34"/>
        <v>0.57504850000268548</v>
      </c>
      <c r="Y46">
        <f t="shared" ca="1" si="34"/>
        <v>1.1276122516062237</v>
      </c>
      <c r="Z46">
        <f t="shared" ca="1" si="34"/>
        <v>1.7850758658933426</v>
      </c>
      <c r="AA46">
        <f t="shared" ca="1" si="34"/>
        <v>2.1663092847488117</v>
      </c>
      <c r="AB46">
        <f t="shared" ca="1" si="34"/>
        <v>2.0909593002566069</v>
      </c>
      <c r="AC46">
        <f t="shared" ca="1" si="34"/>
        <v>1.7494803679058326</v>
      </c>
      <c r="AD46">
        <f t="shared" ca="1" si="34"/>
        <v>1.360883784410712</v>
      </c>
      <c r="AE46">
        <f t="shared" ca="1" si="34"/>
        <v>1.0224796296372347</v>
      </c>
      <c r="AF46">
        <f t="shared" ca="1" si="34"/>
        <v>0.75506930401460404</v>
      </c>
      <c r="AG46">
        <f t="shared" ca="1" si="34"/>
        <v>0.55219148465116796</v>
      </c>
      <c r="AH46">
        <f t="shared" ca="1" si="34"/>
        <v>0.40123445305583838</v>
      </c>
      <c r="AI46">
        <f t="shared" ca="1" si="34"/>
        <v>0.94242196308758908</v>
      </c>
    </row>
    <row r="47" spans="1:35" ht="19" thickTop="1">
      <c r="A47" s="1" t="s">
        <v>41</v>
      </c>
      <c r="B47" s="11">
        <f ca="1">MAX(0,Ro*(reck-1/spr)/(reck-1))</f>
        <v>8771.7289435886614</v>
      </c>
      <c r="F47" t="s">
        <v>84</v>
      </c>
      <c r="G47" s="31">
        <f ca="1">G39/G53</f>
        <v>0.99999999999999978</v>
      </c>
      <c r="H47" s="31">
        <f ca="1">H53/H39</f>
        <v>0.5048943275558565</v>
      </c>
      <c r="I47" s="31">
        <f ca="1">I53/I39</f>
        <v>0.51242413254864727</v>
      </c>
      <c r="J47" s="8" t="s">
        <v>76</v>
      </c>
      <c r="K47">
        <f t="shared" ref="K47:AI47" ca="1" si="35">lz*qa2_</f>
        <v>4.5449433497798069E-4</v>
      </c>
      <c r="L47">
        <f t="shared" ca="1" si="35"/>
        <v>3.327534086673424E-2</v>
      </c>
      <c r="M47">
        <f t="shared" ca="1" si="35"/>
        <v>0.58893177564385735</v>
      </c>
      <c r="N47">
        <f t="shared" ca="1" si="35"/>
        <v>1.7115718389919146</v>
      </c>
      <c r="O47">
        <f t="shared" ca="1" si="35"/>
        <v>2.4531357187874052</v>
      </c>
      <c r="P47">
        <f t="shared" ca="1" si="35"/>
        <v>2.3845884089637659</v>
      </c>
      <c r="Q47">
        <f t="shared" ca="1" si="35"/>
        <v>2.656845952061837</v>
      </c>
      <c r="R47">
        <f t="shared" ca="1" si="35"/>
        <v>2.7619088058156764</v>
      </c>
      <c r="S47">
        <f t="shared" ca="1" si="35"/>
        <v>2.7297427694670624</v>
      </c>
      <c r="T47">
        <f t="shared" ca="1" si="35"/>
        <v>2.6027919269825062</v>
      </c>
      <c r="U47">
        <f t="shared" ca="1" si="35"/>
        <v>2.41382413136304</v>
      </c>
      <c r="V47">
        <f t="shared" ca="1" si="35"/>
        <v>2.1871129567891128</v>
      </c>
      <c r="W47">
        <f t="shared" ca="1" si="35"/>
        <v>1.9389284856427023</v>
      </c>
      <c r="X47">
        <f t="shared" ca="1" si="35"/>
        <v>1.6773870359172154</v>
      </c>
      <c r="Y47">
        <f t="shared" ca="1" si="35"/>
        <v>1.4043880517654663</v>
      </c>
      <c r="Z47">
        <f t="shared" ca="1" si="35"/>
        <v>1.2240822557230444</v>
      </c>
      <c r="AA47">
        <f t="shared" ca="1" si="35"/>
        <v>1.0112411186255248</v>
      </c>
      <c r="AB47">
        <f t="shared" ca="1" si="35"/>
        <v>0.79701988010457958</v>
      </c>
      <c r="AC47">
        <f t="shared" ca="1" si="35"/>
        <v>0.60826470924059861</v>
      </c>
      <c r="AD47">
        <f t="shared" ca="1" si="35"/>
        <v>0.45533157294203846</v>
      </c>
      <c r="AE47">
        <f t="shared" ca="1" si="35"/>
        <v>0.33687019406201374</v>
      </c>
      <c r="AF47">
        <f t="shared" ca="1" si="35"/>
        <v>0.2472570426117694</v>
      </c>
      <c r="AG47">
        <f t="shared" ca="1" si="35"/>
        <v>0.18039091237975885</v>
      </c>
      <c r="AH47">
        <f t="shared" ca="1" si="35"/>
        <v>0.13095419030973252</v>
      </c>
      <c r="AI47">
        <f t="shared" ca="1" si="35"/>
        <v>0.30747586414462297</v>
      </c>
    </row>
    <row r="48" spans="1:35">
      <c r="A48" s="1" t="s">
        <v>43</v>
      </c>
      <c r="B48" s="1">
        <f ca="1">f1_*re*phi_q1</f>
        <v>25770.01097178278</v>
      </c>
      <c r="C48" s="20">
        <f ca="1">ye_1/SUM(ye_1,ye_2,ye_3)</f>
        <v>0.60367371601208453</v>
      </c>
      <c r="F48" t="s">
        <v>85</v>
      </c>
      <c r="G48" s="31">
        <f ca="1">G40/G54</f>
        <v>1.9806124676442716</v>
      </c>
      <c r="H48" s="31">
        <f t="shared" ref="H48:I49" ca="1" si="36">H40/H54</f>
        <v>1</v>
      </c>
      <c r="I48" s="31">
        <f ca="1">I54/I40</f>
        <v>0.6609632645408533</v>
      </c>
      <c r="J48" s="8" t="s">
        <v>77</v>
      </c>
      <c r="K48">
        <f t="shared" ref="K48:AI48" ca="1" si="37">lz*qa3_</f>
        <v>4.1868225833581598E-5</v>
      </c>
      <c r="L48">
        <f t="shared" ca="1" si="37"/>
        <v>8.5011097619981852E-4</v>
      </c>
      <c r="M48">
        <f t="shared" ca="1" si="37"/>
        <v>7.8339797371853696E-3</v>
      </c>
      <c r="N48">
        <f t="shared" ca="1" si="37"/>
        <v>5.0173462675530002E-2</v>
      </c>
      <c r="O48">
        <f t="shared" ca="1" si="37"/>
        <v>0.25464917453294217</v>
      </c>
      <c r="P48">
        <f t="shared" ca="1" si="37"/>
        <v>0.11206766468459992</v>
      </c>
      <c r="Q48">
        <f t="shared" ca="1" si="37"/>
        <v>2.1308105617460216</v>
      </c>
      <c r="R48">
        <f t="shared" ca="1" si="37"/>
        <v>4.3536829767659837</v>
      </c>
      <c r="S48">
        <f t="shared" ca="1" si="37"/>
        <v>4.9742097971013992</v>
      </c>
      <c r="T48">
        <f t="shared" ca="1" si="37"/>
        <v>4.8532578038754899</v>
      </c>
      <c r="U48">
        <f t="shared" ca="1" si="37"/>
        <v>4.4576684238977142</v>
      </c>
      <c r="V48">
        <f t="shared" ca="1" si="37"/>
        <v>3.9667400196667426</v>
      </c>
      <c r="W48">
        <f t="shared" ca="1" si="37"/>
        <v>3.4463841629342147</v>
      </c>
      <c r="X48">
        <f t="shared" ca="1" si="37"/>
        <v>2.9204060306577615</v>
      </c>
      <c r="Y48">
        <f t="shared" ca="1" si="37"/>
        <v>2.3946780137602337</v>
      </c>
      <c r="Z48">
        <f t="shared" ca="1" si="37"/>
        <v>2.0872314180749898</v>
      </c>
      <c r="AA48">
        <f t="shared" ca="1" si="37"/>
        <v>1.724307516244276</v>
      </c>
      <c r="AB48">
        <f t="shared" ca="1" si="37"/>
        <v>1.3590303484972921</v>
      </c>
      <c r="AC48">
        <f t="shared" ca="1" si="37"/>
        <v>1.0371763872055326</v>
      </c>
      <c r="AD48">
        <f t="shared" ca="1" si="37"/>
        <v>0.77640400409591104</v>
      </c>
      <c r="AE48">
        <f t="shared" ca="1" si="37"/>
        <v>0.57441078781419763</v>
      </c>
      <c r="AF48">
        <f t="shared" ca="1" si="37"/>
        <v>0.42160783335164886</v>
      </c>
      <c r="AG48">
        <f t="shared" ca="1" si="37"/>
        <v>0.30759173094282199</v>
      </c>
      <c r="AH48">
        <f t="shared" ca="1" si="37"/>
        <v>0.22329520672742112</v>
      </c>
      <c r="AI48">
        <f t="shared" ca="1" si="37"/>
        <v>0.52428934488828927</v>
      </c>
    </row>
    <row r="49" spans="1:47">
      <c r="A49" s="1" t="s">
        <v>44</v>
      </c>
      <c r="B49" s="1">
        <f ca="1">f2_*re*phi_q2</f>
        <v>9610.7479762243929</v>
      </c>
      <c r="C49" s="20">
        <f ca="1">ye_2/SUM(ye_1,ye_2,ye_3)</f>
        <v>0.22513595166163142</v>
      </c>
      <c r="F49" t="s">
        <v>86</v>
      </c>
      <c r="G49" s="31">
        <f ca="1">G41/G55</f>
        <v>1.951508401890234</v>
      </c>
      <c r="H49" s="31">
        <f t="shared" ca="1" si="36"/>
        <v>1.5129433867927031</v>
      </c>
      <c r="I49" s="31">
        <f t="shared" ca="1" si="36"/>
        <v>0.99999999999999978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7307.8827606653131</v>
      </c>
      <c r="C50" s="20">
        <f ca="1">ye_3/SUM(ye_1,ye_2,ye_3)</f>
        <v>0.17119033232628403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42688.64170867249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1134.6751127905018</v>
      </c>
      <c r="H52" s="57">
        <f ca="1">H40^0.5</f>
        <v>558.28425890839287</v>
      </c>
      <c r="I52" s="11">
        <f ca="1">I41^0.5</f>
        <v>567.51655600674894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2.9378485287804432</v>
      </c>
      <c r="C53">
        <f ca="1">AVERAGE(B53:B55)/B53</f>
        <v>0.55217466736063836</v>
      </c>
      <c r="G53">
        <f ca="1">G$52*$J53</f>
        <v>1287487.6115861379</v>
      </c>
      <c r="H53">
        <f t="shared" ref="H53:I53" ca="1" si="38">H$52*$J53</f>
        <v>633471.25444604235</v>
      </c>
      <c r="I53">
        <f t="shared" ca="1" si="38"/>
        <v>643946.91219743493</v>
      </c>
      <c r="J53">
        <f t="array" aca="1" ref="J53:J55" ca="1">TRANSPOSE(G52:I52)</f>
        <v>1134.6751127905018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1.0956503601549361</v>
      </c>
      <c r="C54">
        <f ca="1">AVERAGE(B53:B55)/B54</f>
        <v>1.4805868670602966</v>
      </c>
      <c r="G54">
        <f t="shared" ref="G54:I55" ca="1" si="39">G$52*$J54</f>
        <v>633471.25444604235</v>
      </c>
      <c r="H54">
        <f t="shared" ca="1" si="39"/>
        <v>311681.31374489347</v>
      </c>
      <c r="I54">
        <f ca="1">I$52*$J54</f>
        <v>316835.55988847127</v>
      </c>
      <c r="J54">
        <f ca="1"/>
        <v>558.28425890839287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0.83311771347046837</v>
      </c>
      <c r="C55">
        <f ca="1">AVERAGE(B53:B55)/B55</f>
        <v>1.9471504541390177</v>
      </c>
      <c r="G55">
        <f t="shared" ca="1" si="39"/>
        <v>643946.91219743493</v>
      </c>
      <c r="H55">
        <f t="shared" ca="1" si="39"/>
        <v>316835.55988847127</v>
      </c>
      <c r="I55">
        <f t="shared" ca="1" si="39"/>
        <v>322075.04134176142</v>
      </c>
      <c r="J55">
        <f ca="1"/>
        <v>567.51655600674894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3.8189765426592956E-2</v>
      </c>
      <c r="C56">
        <f ca="1">AVERAGE(B56:B58)/B56</f>
        <v>1.3594581422016192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8.9682820161831281E-2</v>
      </c>
      <c r="C57">
        <f ca="1">AVERAGE(B56:B58)/B57</f>
        <v>0.5789000330750923</v>
      </c>
      <c r="G57">
        <f t="array" aca="1" ref="G57:I59" ca="1">MMULT($G$52:$I$52,TRANSPOSE($G$52:$I$52))</f>
        <v>1921243.9666727928</v>
      </c>
      <c r="H57">
        <f ca="1"/>
        <v>1921243.9666727928</v>
      </c>
      <c r="I57">
        <f ca="1"/>
        <v>1921243.9666727928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2.7879577085430804E-2</v>
      </c>
      <c r="C58">
        <f ca="1">AVERAGE(B56:B58)/B58</f>
        <v>1.8622014027997027</v>
      </c>
      <c r="G58">
        <f ca="1"/>
        <v>1921243.9666727928</v>
      </c>
      <c r="H58">
        <f ca="1"/>
        <v>1921243.9666727928</v>
      </c>
      <c r="I58">
        <f ca="1"/>
        <v>1921243.9666727928</v>
      </c>
      <c r="AL58" s="31"/>
      <c r="AM58" s="31"/>
      <c r="AN58" s="31"/>
      <c r="AO58" s="31"/>
      <c r="AP58" s="31"/>
    </row>
    <row r="59" spans="1:47">
      <c r="G59">
        <f ca="1"/>
        <v>1921243.9666727928</v>
      </c>
      <c r="H59">
        <f ca="1"/>
        <v>1921243.9666727928</v>
      </c>
      <c r="I59">
        <f ca="1"/>
        <v>1921243.9666727928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76.927640061771882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12.216948108655055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29.882724222019696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(1)'!K18:AI18</xm:f>
              <xm:sqref>J18</xm:sqref>
            </x14:sparkline>
            <x14:sparkline>
              <xm:f>'No Size Limit (1)'!K19:AI19</xm:f>
              <xm:sqref>J19</xm:sqref>
            </x14:sparkline>
            <x14:sparkline>
              <xm:f>'No Size Limit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(1)'!K46:AI46</xm:f>
              <xm:sqref>J46</xm:sqref>
            </x14:sparkline>
            <x14:sparkline>
              <xm:f>'No Size Limit (1)'!K47:AI47</xm:f>
              <xm:sqref>J47</xm:sqref>
            </x14:sparkline>
            <x14:sparkline>
              <xm:f>'No Size Limit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0.61923578721232941</v>
      </c>
      <c r="E4" s="47">
        <v>24977</v>
      </c>
      <c r="F4" s="47">
        <f ca="1">ye_1</f>
        <v>26732.391053328891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0.21184175880004413</v>
      </c>
      <c r="E5" s="47">
        <v>9315</v>
      </c>
      <c r="F5" s="47">
        <f ca="1">ye_2</f>
        <v>9145.2026104007473</v>
      </c>
      <c r="J5" t="s">
        <v>3</v>
      </c>
      <c r="K5" s="9">
        <f>0.00000692*len^3.24</f>
        <v>7.0158553546955618E-2</v>
      </c>
      <c r="L5" s="9">
        <f>0.00000692*len^3.24</f>
        <v>0.46238682351281868</v>
      </c>
      <c r="M5" s="9">
        <f>0.00000692*len^3.24</f>
        <v>1.4016693105158124</v>
      </c>
      <c r="N5" s="9">
        <f>0.00000692*len^3.24</f>
        <v>3.0263235000724551</v>
      </c>
      <c r="O5" s="9">
        <f>0.00000692*len^3.24</f>
        <v>5.3989138613447478</v>
      </c>
      <c r="P5" s="9">
        <f>0.00000692*len^3.24</f>
        <v>8.5235871881960321</v>
      </c>
      <c r="Q5" s="9">
        <f>0.00000692*len^3.24</f>
        <v>12.362641181768007</v>
      </c>
      <c r="R5" s="9">
        <f>0.00000692*len^3.24</f>
        <v>16.850499568231225</v>
      </c>
      <c r="S5" s="9">
        <f>0.00000692*len^3.24</f>
        <v>21.904807515591521</v>
      </c>
      <c r="T5" s="9">
        <f>0.00000692*len^3.24</f>
        <v>27.434883404502997</v>
      </c>
      <c r="U5" s="9">
        <f>0.00000692*len^3.24</f>
        <v>33.347926709886231</v>
      </c>
      <c r="V5" s="9">
        <f>0.00000692*len^3.24</f>
        <v>39.553403570181338</v>
      </c>
      <c r="W5" s="9">
        <f>0.00000692*len^3.24</f>
        <v>45.965996898027832</v>
      </c>
      <c r="X5" s="9">
        <f>0.00000692*len^3.24</f>
        <v>52.507453509450855</v>
      </c>
      <c r="Y5" s="9">
        <f>0.00000692*len^3.24</f>
        <v>59.107603219100518</v>
      </c>
      <c r="Z5" s="9">
        <f>0.00000692*len^3.24</f>
        <v>65.704771366005971</v>
      </c>
      <c r="AA5" s="9">
        <f>0.00000692*len^3.24</f>
        <v>72.245759564237062</v>
      </c>
      <c r="AB5" s="9">
        <f>0.00000692*len^3.24</f>
        <v>78.685530247837576</v>
      </c>
      <c r="AC5" s="9">
        <f>0.00000692*len^3.24</f>
        <v>84.986698433372865</v>
      </c>
      <c r="AD5" s="9">
        <f>0.00000692*len^3.24</f>
        <v>91.118908268394236</v>
      </c>
      <c r="AE5" s="9">
        <f>0.00000692*len^3.24</f>
        <v>97.058151452529373</v>
      </c>
      <c r="AF5" s="9">
        <f>0.00000692*len^3.24</f>
        <v>102.78606860782043</v>
      </c>
      <c r="AG5" s="9">
        <f>0.00000692*len^3.24</f>
        <v>108.28926231630099</v>
      </c>
      <c r="AH5" s="9">
        <f>0.00000692*len^3.24</f>
        <v>113.55864112278009</v>
      </c>
      <c r="AI5" s="9">
        <f>0.00000692*len^3.24</f>
        <v>118.58880671719038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0.16892245398762643</v>
      </c>
      <c r="E6" s="47">
        <v>7083</v>
      </c>
      <c r="F6" s="47">
        <f ca="1">ye_3</f>
        <v>7292.3774609570482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0.39999999999932806</v>
      </c>
      <c r="J7" t="s">
        <v>7</v>
      </c>
      <c r="K7" s="1">
        <f>1</f>
        <v>1</v>
      </c>
      <c r="L7" s="1">
        <f ca="1">K7*EXP(-K8)</f>
        <v>0.86050742504643662</v>
      </c>
      <c r="M7" s="1">
        <f t="shared" ref="M7:AH7" ca="1" si="3">L7*EXP(-L8)</f>
        <v>0.73850424292442396</v>
      </c>
      <c r="N7" s="1">
        <f t="shared" ca="1" si="3"/>
        <v>0.6232220381624215</v>
      </c>
      <c r="O7" s="1">
        <f t="shared" ca="1" si="3"/>
        <v>0.51951834962821308</v>
      </c>
      <c r="P7" s="1">
        <f t="shared" ca="1" si="3"/>
        <v>0.43294953064315678</v>
      </c>
      <c r="Q7" s="1">
        <f t="shared" ca="1" si="3"/>
        <v>0.36416465165496964</v>
      </c>
      <c r="R7" s="1">
        <f t="shared" ca="1" si="3"/>
        <v>0.30399618993358596</v>
      </c>
      <c r="S7" s="1">
        <f t="shared" ca="1" si="3"/>
        <v>0.25214240491048173</v>
      </c>
      <c r="T7" s="1">
        <f t="shared" ca="1" si="3"/>
        <v>0.20919516396282975</v>
      </c>
      <c r="U7" s="1">
        <f t="shared" ca="1" si="3"/>
        <v>0.17394346811497929</v>
      </c>
      <c r="V7" s="1">
        <f t="shared" ca="1" si="3"/>
        <v>0.1449095540251534</v>
      </c>
      <c r="W7" s="1">
        <f t="shared" ca="1" si="3"/>
        <v>0.12074840992099158</v>
      </c>
      <c r="X7" s="1">
        <f t="shared" ca="1" si="3"/>
        <v>0.10023762196138471</v>
      </c>
      <c r="Y7" s="1">
        <f t="shared" ca="1" si="3"/>
        <v>8.2201021998316609E-2</v>
      </c>
      <c r="Z7" s="1">
        <f t="shared" ca="1" si="3"/>
        <v>6.5624759905110783E-2</v>
      </c>
      <c r="AA7" s="1">
        <f t="shared" ca="1" si="3"/>
        <v>5.0124293141212986E-2</v>
      </c>
      <c r="AB7" s="1">
        <f t="shared" ca="1" si="3"/>
        <v>3.6557951490823859E-2</v>
      </c>
      <c r="AC7" s="1">
        <f t="shared" ca="1" si="3"/>
        <v>2.5811279747659711E-2</v>
      </c>
      <c r="AD7" s="1">
        <f t="shared" ca="1" si="3"/>
        <v>1.7915541195685669E-2</v>
      </c>
      <c r="AE7" s="1">
        <f t="shared" ca="1" si="3"/>
        <v>1.234099224763857E-2</v>
      </c>
      <c r="AF7" s="1">
        <f t="shared" ca="1" si="3"/>
        <v>8.47439068430615E-3</v>
      </c>
      <c r="AG7" s="1">
        <f t="shared" ca="1" si="3"/>
        <v>5.8119674468873513E-3</v>
      </c>
      <c r="AH7" s="1">
        <f t="shared" ca="1" si="3"/>
        <v>3.9840418989287845E-3</v>
      </c>
      <c r="AI7" s="1">
        <f ca="1">AH7*EXP(-AH8)/(1-EXP(-AI8))</f>
        <v>8.6766868582695191E-3</v>
      </c>
    </row>
    <row r="8" spans="1:35">
      <c r="A8" s="5"/>
      <c r="B8" s="26"/>
      <c r="C8" s="26"/>
      <c r="E8" t="s">
        <v>111</v>
      </c>
      <c r="F8">
        <f ca="1">SUMXMY2(E4:E6,F4:F6)</f>
        <v>3154067.8247786537</v>
      </c>
      <c r="J8" t="s">
        <v>11</v>
      </c>
      <c r="K8" s="1">
        <f ca="1">M+f1_*flt1_ +f2_*flt2_ +f3_*flt3_</f>
        <v>0.15023303460956405</v>
      </c>
      <c r="L8" s="1">
        <f t="shared" ref="L8:AI8" ca="1" si="4">M+f1_*flt1_ +f2_*flt2_ +f3_*flt3_</f>
        <v>0.15289539709005467</v>
      </c>
      <c r="M8" s="1">
        <f t="shared" ca="1" si="4"/>
        <v>0.16972399044619177</v>
      </c>
      <c r="N8" s="1">
        <f t="shared" ca="1" si="4"/>
        <v>0.18200072521109537</v>
      </c>
      <c r="O8" s="1">
        <f t="shared" ca="1" si="4"/>
        <v>0.18228096782218814</v>
      </c>
      <c r="P8" s="1">
        <f t="shared" ca="1" si="4"/>
        <v>0.17301505872961381</v>
      </c>
      <c r="Q8" s="1">
        <f t="shared" ca="1" si="4"/>
        <v>0.18059093685895178</v>
      </c>
      <c r="R8" s="1">
        <f t="shared" ca="1" si="4"/>
        <v>0.18702114146016519</v>
      </c>
      <c r="S8" s="1">
        <f t="shared" ca="1" si="4"/>
        <v>0.18672641164321935</v>
      </c>
      <c r="T8" s="1">
        <f t="shared" ca="1" si="4"/>
        <v>0.18453726457759201</v>
      </c>
      <c r="U8" s="1">
        <f t="shared" ca="1" si="4"/>
        <v>0.18262056807923499</v>
      </c>
      <c r="V8" s="1">
        <f t="shared" ca="1" si="4"/>
        <v>0.18240065836446495</v>
      </c>
      <c r="W8" s="1">
        <f t="shared" ca="1" si="4"/>
        <v>0.18616553723326687</v>
      </c>
      <c r="X8" s="1">
        <f t="shared" ca="1" si="4"/>
        <v>0.19837585180214479</v>
      </c>
      <c r="Y8" s="1">
        <f t="shared" ca="1" si="4"/>
        <v>0.22521467273808229</v>
      </c>
      <c r="Z8" s="1">
        <f t="shared" ca="1" si="4"/>
        <v>0.26944727870994489</v>
      </c>
      <c r="AA8" s="1">
        <f t="shared" ca="1" si="4"/>
        <v>0.31560707002284016</v>
      </c>
      <c r="AB8" s="1">
        <f t="shared" ca="1" si="4"/>
        <v>0.34808711767812023</v>
      </c>
      <c r="AC8" s="1">
        <f t="shared" ca="1" si="4"/>
        <v>0.36514303652379471</v>
      </c>
      <c r="AD8" s="1">
        <f t="shared" ca="1" si="4"/>
        <v>0.37274213509011378</v>
      </c>
      <c r="AE8" s="1">
        <f t="shared" ca="1" si="4"/>
        <v>0.37587766926668742</v>
      </c>
      <c r="AF8" s="1">
        <f t="shared" ca="1" si="4"/>
        <v>0.37712961034977255</v>
      </c>
      <c r="AG8" s="1">
        <f t="shared" ca="1" si="4"/>
        <v>0.3776222882085889</v>
      </c>
      <c r="AH8" s="1">
        <f t="shared" ca="1" si="4"/>
        <v>0.37781445410476644</v>
      </c>
      <c r="AI8" s="1">
        <f t="shared" ca="1" si="4"/>
        <v>0.37788853284635449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0.86050742504643662</v>
      </c>
      <c r="L10" s="1">
        <f t="shared" ca="1" si="5"/>
        <v>0.85821948937229808</v>
      </c>
      <c r="M10" s="1">
        <f t="shared" ca="1" si="5"/>
        <v>0.84389770828466315</v>
      </c>
      <c r="N10" s="1">
        <f t="shared" ca="1" si="5"/>
        <v>0.83360073587901329</v>
      </c>
      <c r="O10" s="1">
        <f t="shared" ca="1" si="5"/>
        <v>0.83336715816292495</v>
      </c>
      <c r="P10" s="1">
        <f t="shared" ca="1" si="5"/>
        <v>0.84112494847608321</v>
      </c>
      <c r="Q10" s="1">
        <f t="shared" ca="1" si="5"/>
        <v>0.83477676526828115</v>
      </c>
      <c r="R10" s="1">
        <f t="shared" ca="1" si="5"/>
        <v>0.82942620091905517</v>
      </c>
      <c r="S10" s="1">
        <f t="shared" ca="1" si="5"/>
        <v>0.8296706935792908</v>
      </c>
      <c r="T10" s="1">
        <f t="shared" ca="1" si="5"/>
        <v>0.83148895423742175</v>
      </c>
      <c r="U10" s="1">
        <f t="shared" ca="1" si="5"/>
        <v>0.83308419451178228</v>
      </c>
      <c r="V10" s="1">
        <f t="shared" ca="1" si="5"/>
        <v>0.83326741796494697</v>
      </c>
      <c r="W10" s="1">
        <f t="shared" ca="1" si="5"/>
        <v>0.83013616516335464</v>
      </c>
      <c r="X10" s="1">
        <f t="shared" ca="1" si="5"/>
        <v>0.82006157358744525</v>
      </c>
      <c r="Y10" s="1">
        <f t="shared" ca="1" si="5"/>
        <v>0.79834481749454056</v>
      </c>
      <c r="Z10" s="1">
        <f t="shared" ca="1" si="5"/>
        <v>0.76380154706378378</v>
      </c>
      <c r="AA10" s="1">
        <f t="shared" ca="1" si="5"/>
        <v>0.72934597576928895</v>
      </c>
      <c r="AB10" s="1">
        <f t="shared" ca="1" si="5"/>
        <v>0.70603736519915261</v>
      </c>
      <c r="AC10" s="1">
        <f t="shared" ca="1" si="5"/>
        <v>0.69409736250330856</v>
      </c>
      <c r="AD10" s="1">
        <f t="shared" ca="1" si="5"/>
        <v>0.68884283834029336</v>
      </c>
      <c r="AE10" s="1">
        <f t="shared" ca="1" si="5"/>
        <v>0.68668633074684193</v>
      </c>
      <c r="AF10" s="1">
        <f t="shared" ca="1" si="5"/>
        <v>0.68582717783481706</v>
      </c>
      <c r="AG10" s="1">
        <f t="shared" ca="1" si="5"/>
        <v>0.68548936919157599</v>
      </c>
      <c r="AH10" s="1">
        <f t="shared" ca="1" si="5"/>
        <v>0.68535765416859817</v>
      </c>
      <c r="AI10" s="1">
        <f t="shared" ca="1" si="5"/>
        <v>0.685306885616498</v>
      </c>
    </row>
    <row r="11" spans="1:35">
      <c r="A11" s="5">
        <v>1</v>
      </c>
      <c r="B11" s="25">
        <f>'Status Quo'!B11</f>
        <v>0.26028638242243257</v>
      </c>
      <c r="C11" s="18">
        <f ca="1">mpr1_/SUM(mpr1_,mpr2_,mpr3_)</f>
        <v>0.26028638242243257</v>
      </c>
      <c r="J11" t="s">
        <v>56</v>
      </c>
      <c r="K11" s="1">
        <f ca="1">1-sa</f>
        <v>0.13949257495356338</v>
      </c>
      <c r="L11" s="1">
        <f t="shared" ref="L11:AI11" ca="1" si="6">1-sa</f>
        <v>0.14178051062770192</v>
      </c>
      <c r="M11" s="1">
        <f t="shared" ca="1" si="6"/>
        <v>0.15610229171533685</v>
      </c>
      <c r="N11" s="1">
        <f t="shared" ca="1" si="6"/>
        <v>0.16639926412098671</v>
      </c>
      <c r="O11" s="1">
        <f t="shared" ca="1" si="6"/>
        <v>0.16663284183707505</v>
      </c>
      <c r="P11" s="1">
        <f t="shared" ca="1" si="6"/>
        <v>0.15887505152391679</v>
      </c>
      <c r="Q11" s="1">
        <f t="shared" ca="1" si="6"/>
        <v>0.16522323473171885</v>
      </c>
      <c r="R11" s="1">
        <f t="shared" ca="1" si="6"/>
        <v>0.17057379908094483</v>
      </c>
      <c r="S11" s="1">
        <f t="shared" ca="1" si="6"/>
        <v>0.1703293064207092</v>
      </c>
      <c r="T11" s="1">
        <f t="shared" ca="1" si="6"/>
        <v>0.16851104576257825</v>
      </c>
      <c r="U11" s="1">
        <f t="shared" ca="1" si="6"/>
        <v>0.16691580548821772</v>
      </c>
      <c r="V11" s="1">
        <f t="shared" ca="1" si="6"/>
        <v>0.16673258203505303</v>
      </c>
      <c r="W11" s="1">
        <f t="shared" ca="1" si="6"/>
        <v>0.16986383483664536</v>
      </c>
      <c r="X11" s="1">
        <f t="shared" ca="1" si="6"/>
        <v>0.17993842641255475</v>
      </c>
      <c r="Y11" s="1">
        <f t="shared" ca="1" si="6"/>
        <v>0.20165518250545944</v>
      </c>
      <c r="Z11" s="1">
        <f t="shared" ca="1" si="6"/>
        <v>0.23619845293621622</v>
      </c>
      <c r="AA11" s="1">
        <f t="shared" ca="1" si="6"/>
        <v>0.27065402423071105</v>
      </c>
      <c r="AB11" s="1">
        <f t="shared" ca="1" si="6"/>
        <v>0.29396263480084739</v>
      </c>
      <c r="AC11" s="1">
        <f t="shared" ca="1" si="6"/>
        <v>0.30590263749669144</v>
      </c>
      <c r="AD11" s="1">
        <f t="shared" ca="1" si="6"/>
        <v>0.31115716165970664</v>
      </c>
      <c r="AE11" s="1">
        <f t="shared" ca="1" si="6"/>
        <v>0.31331366925315807</v>
      </c>
      <c r="AF11" s="1">
        <f t="shared" ca="1" si="6"/>
        <v>0.31417282216518294</v>
      </c>
      <c r="AG11" s="1">
        <f t="shared" ca="1" si="6"/>
        <v>0.31451063080842401</v>
      </c>
      <c r="AH11" s="1">
        <f t="shared" ca="1" si="6"/>
        <v>0.31464234583140183</v>
      </c>
      <c r="AI11" s="1">
        <f t="shared" ca="1" si="6"/>
        <v>0.314693114383502</v>
      </c>
    </row>
    <row r="12" spans="1:35">
      <c r="A12" s="5">
        <v>2</v>
      </c>
      <c r="B12" s="25">
        <f>'Status Quo'!B12</f>
        <v>0.55746237931999676</v>
      </c>
      <c r="C12" s="18">
        <f ca="1">mpr2_/SUM(mpr1_,mpr2_,mpr3_)</f>
        <v>0.55746237931999676</v>
      </c>
      <c r="J12" t="s">
        <v>100</v>
      </c>
      <c r="K12">
        <f>1/(1+EXP(($E18-len)/2.5))</f>
        <v>0.99898718624880734</v>
      </c>
      <c r="L12">
        <f t="shared" ref="L12:AI12" si="7">1/(1+EXP(($E18-len)/2.5))</f>
        <v>0.99999561571634576</v>
      </c>
      <c r="M12">
        <f t="shared" si="7"/>
        <v>0.99999997149652653</v>
      </c>
      <c r="N12">
        <f t="shared" si="7"/>
        <v>0.99999999972979126</v>
      </c>
      <c r="O12">
        <f t="shared" si="7"/>
        <v>0.9999999999963689</v>
      </c>
      <c r="P12">
        <f t="shared" si="7"/>
        <v>0.99999999999993272</v>
      </c>
      <c r="Q12">
        <f t="shared" si="7"/>
        <v>0.99999999999999822</v>
      </c>
      <c r="R12">
        <f>1/(1+EXP(($E18-len)/2.5))</f>
        <v>1</v>
      </c>
      <c r="S12">
        <f t="shared" si="7"/>
        <v>1</v>
      </c>
      <c r="T12">
        <f t="shared" si="7"/>
        <v>1</v>
      </c>
      <c r="U12">
        <f t="shared" si="7"/>
        <v>1</v>
      </c>
      <c r="V12">
        <f t="shared" si="7"/>
        <v>1</v>
      </c>
      <c r="W12">
        <f t="shared" si="7"/>
        <v>1</v>
      </c>
      <c r="X12">
        <f t="shared" si="7"/>
        <v>1</v>
      </c>
      <c r="Y12">
        <f t="shared" si="7"/>
        <v>1</v>
      </c>
      <c r="Z12">
        <f t="shared" si="7"/>
        <v>1</v>
      </c>
      <c r="AA12">
        <f t="shared" si="7"/>
        <v>1</v>
      </c>
      <c r="AB12">
        <f t="shared" si="7"/>
        <v>1</v>
      </c>
      <c r="AC12">
        <f t="shared" si="7"/>
        <v>1</v>
      </c>
      <c r="AD12">
        <f t="shared" si="7"/>
        <v>1</v>
      </c>
      <c r="AE12">
        <f t="shared" si="7"/>
        <v>1</v>
      </c>
      <c r="AF12">
        <f t="shared" si="7"/>
        <v>1</v>
      </c>
      <c r="AG12">
        <f t="shared" si="7"/>
        <v>1</v>
      </c>
      <c r="AH12">
        <f t="shared" si="7"/>
        <v>1</v>
      </c>
      <c r="AI12">
        <f t="shared" si="7"/>
        <v>1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0.18225123825757072</v>
      </c>
      <c r="J13" t="s">
        <v>101</v>
      </c>
      <c r="K13">
        <f>1/(1+EXP(($E19-len)/2.5))</f>
        <v>1.780212213170972E-32</v>
      </c>
      <c r="L13">
        <f t="shared" ref="L13:Q14" si="8">1/(1+EXP(($E19-len)/2.5))</f>
        <v>4.1166211340324113E-30</v>
      </c>
      <c r="M13">
        <f t="shared" si="8"/>
        <v>6.3320399670713315E-28</v>
      </c>
      <c r="N13">
        <f t="shared" si="8"/>
        <v>6.6794716679723202E-26</v>
      </c>
      <c r="O13">
        <f t="shared" si="8"/>
        <v>4.9705571051631045E-24</v>
      </c>
      <c r="P13">
        <f t="shared" si="8"/>
        <v>2.6784427606745092E-22</v>
      </c>
      <c r="Q13">
        <f t="shared" si="8"/>
        <v>1.0707147400765349E-20</v>
      </c>
      <c r="R13">
        <f>1/(1+EXP(($E19-len)/2.5))</f>
        <v>3.2470774237305647E-19</v>
      </c>
      <c r="S13">
        <f t="shared" ref="S13:AI13" si="9">1/(1+EXP(($E19-len)/2.5))</f>
        <v>7.6264913102733784E-18</v>
      </c>
      <c r="T13">
        <f t="shared" si="9"/>
        <v>1.4141093097190688E-16</v>
      </c>
      <c r="U13">
        <f t="shared" si="9"/>
        <v>2.1069654906178927E-15</v>
      </c>
      <c r="V13">
        <f t="shared" si="9"/>
        <v>2.5642613710579942E-14</v>
      </c>
      <c r="W13">
        <f t="shared" si="9"/>
        <v>2.5880873253271309E-13</v>
      </c>
      <c r="X13">
        <f t="shared" si="9"/>
        <v>2.1968263846960051E-12</v>
      </c>
      <c r="Y13">
        <f t="shared" si="9"/>
        <v>1.5887117618179969E-11</v>
      </c>
      <c r="Z13">
        <f t="shared" si="9"/>
        <v>9.9068954677535708E-11</v>
      </c>
      <c r="AA13">
        <f t="shared" si="9"/>
        <v>5.3863356368460146E-10</v>
      </c>
      <c r="AB13">
        <f t="shared" si="9"/>
        <v>2.5797156485912094E-9</v>
      </c>
      <c r="AC13">
        <f t="shared" si="9"/>
        <v>1.0987480026385197E-8</v>
      </c>
      <c r="AD13">
        <f t="shared" si="9"/>
        <v>4.198444838888185E-8</v>
      </c>
      <c r="AE13">
        <f t="shared" si="9"/>
        <v>1.4510196922743085E-7</v>
      </c>
      <c r="AF13">
        <f t="shared" si="9"/>
        <v>4.5700253478658503E-7</v>
      </c>
      <c r="AG13">
        <f t="shared" si="9"/>
        <v>1.3208259556624439E-6</v>
      </c>
      <c r="AH13">
        <f t="shared" si="9"/>
        <v>3.5257296435145709E-6</v>
      </c>
      <c r="AI13">
        <f t="shared" si="9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0.39999999999932806</v>
      </c>
      <c r="J14" t="s">
        <v>102</v>
      </c>
      <c r="K14">
        <f>1/(1+EXP(($E20-len)/2.5))</f>
        <v>5.6126934388498569E-12</v>
      </c>
      <c r="L14">
        <f t="shared" si="8"/>
        <v>1.2978976454834829E-9</v>
      </c>
      <c r="M14">
        <f t="shared" si="8"/>
        <v>1.99637952261423E-7</v>
      </c>
      <c r="N14">
        <f t="shared" si="8"/>
        <v>2.1058746277498515E-5</v>
      </c>
      <c r="O14">
        <f t="shared" si="8"/>
        <v>1.564676467664138E-3</v>
      </c>
      <c r="P14">
        <f t="shared" si="8"/>
        <v>7.7870643543285392E-2</v>
      </c>
      <c r="Q14">
        <f t="shared" si="8"/>
        <v>0.77146898694811417</v>
      </c>
      <c r="R14">
        <f>1/(1+EXP(($E20-len)/2.5))</f>
        <v>0.99032644321048724</v>
      </c>
      <c r="S14">
        <f t="shared" ref="S14:AI14" si="10">1/(1+EXP(($E20-len)/2.5))</f>
        <v>0.99958428557508638</v>
      </c>
      <c r="T14">
        <f t="shared" si="10"/>
        <v>0.99997757111253649</v>
      </c>
      <c r="U14">
        <f t="shared" si="10"/>
        <v>0.99999849463304669</v>
      </c>
      <c r="V14">
        <f t="shared" si="10"/>
        <v>0.99999987630899723</v>
      </c>
      <c r="W14">
        <f t="shared" si="10"/>
        <v>0.99999998774476839</v>
      </c>
      <c r="X14">
        <f t="shared" si="10"/>
        <v>0.9999999985562078</v>
      </c>
      <c r="Y14">
        <f t="shared" si="10"/>
        <v>0.99999999980035637</v>
      </c>
      <c r="Z14">
        <f t="shared" si="10"/>
        <v>0.99999999996798428</v>
      </c>
      <c r="AA14">
        <f t="shared" si="10"/>
        <v>0.99999999999411138</v>
      </c>
      <c r="AB14">
        <f t="shared" si="10"/>
        <v>0.99999999999877054</v>
      </c>
      <c r="AC14">
        <f t="shared" si="10"/>
        <v>0.99999999999971134</v>
      </c>
      <c r="AD14">
        <f t="shared" si="10"/>
        <v>0.9999999999999245</v>
      </c>
      <c r="AE14">
        <f t="shared" si="10"/>
        <v>0.99999999999997824</v>
      </c>
      <c r="AF14">
        <f t="shared" si="10"/>
        <v>0.99999999999999312</v>
      </c>
      <c r="AG14">
        <f t="shared" si="10"/>
        <v>0.99999999999999756</v>
      </c>
      <c r="AH14">
        <f t="shared" si="10"/>
        <v>0.99999999999999911</v>
      </c>
      <c r="AI14">
        <f t="shared" si="10"/>
        <v>0.99999999999999956</v>
      </c>
    </row>
    <row r="15" spans="1:35">
      <c r="A15" s="5"/>
      <c r="B15" s="26" t="s">
        <v>50</v>
      </c>
      <c r="C15" s="26">
        <f ca="1">CHOOSE(C25,SUMXMY2(B14,C14),SUMXMY2(B7,C7))</f>
        <v>4.5153358212680747E-25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0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6.9550658915612429E-7</v>
      </c>
      <c r="L18" s="4">
        <f t="shared" ref="K18:O20" si="11">((EXP(g*(ah-age)/gh)/(1+EXP((ah-age)/gh))) *(1/(1-g))*((1-g)/g)^g) *(sr+(1-sr)*dmr)</f>
        <v>1.7796593889779232E-6</v>
      </c>
      <c r="M18" s="4">
        <f t="shared" si="11"/>
        <v>4.5499366343571328E-6</v>
      </c>
      <c r="N18" s="4">
        <f t="shared" si="11"/>
        <v>1.1632427530234354E-5</v>
      </c>
      <c r="O18" s="4">
        <f t="shared" si="11"/>
        <v>2.9739287925580087E-5</v>
      </c>
      <c r="P18" s="4">
        <f t="shared" ref="P18:AI18" si="12">((EXP(g*(ah-age)/gh)/(1+EXP((ah-age)/gh))) *(1/(1-g))*((1-g)/g)^g) *(sr_1+(1-sr_1)*dmr)</f>
        <v>7.602887032963758E-5</v>
      </c>
      <c r="Q18" s="4">
        <f t="shared" si="12"/>
        <v>1.9435477942245623E-4</v>
      </c>
      <c r="R18" s="4">
        <f t="shared" si="12"/>
        <v>4.9674322392758363E-4</v>
      </c>
      <c r="S18" s="4">
        <f t="shared" si="12"/>
        <v>1.2690081150531374E-3</v>
      </c>
      <c r="T18" s="4">
        <f t="shared" si="12"/>
        <v>3.2379905213052156E-3</v>
      </c>
      <c r="U18" s="4">
        <f t="shared" si="12"/>
        <v>8.2368376871169522E-3</v>
      </c>
      <c r="V18" s="4">
        <f t="shared" si="12"/>
        <v>2.0792008372629657E-2</v>
      </c>
      <c r="W18" s="4">
        <f t="shared" si="12"/>
        <v>5.1491204908949553E-2</v>
      </c>
      <c r="X18" s="4">
        <f t="shared" si="12"/>
        <v>0.12187661989811299</v>
      </c>
      <c r="Y18" s="4">
        <f t="shared" si="12"/>
        <v>0.26191103367452068</v>
      </c>
      <c r="Z18" s="4">
        <f t="shared" si="12"/>
        <v>0.4756934927991851</v>
      </c>
      <c r="AA18" s="4">
        <f t="shared" si="12"/>
        <v>0.69879031205124198</v>
      </c>
      <c r="AB18" s="4">
        <f t="shared" si="12"/>
        <v>0.85577098971353227</v>
      </c>
      <c r="AC18" s="4">
        <f t="shared" si="12"/>
        <v>0.93820466490279131</v>
      </c>
      <c r="AD18" s="4">
        <f t="shared" si="12"/>
        <v>0.97493218621753863</v>
      </c>
      <c r="AE18" s="4">
        <f t="shared" si="12"/>
        <v>0.99008666767322651</v>
      </c>
      <c r="AF18" s="4">
        <f t="shared" si="12"/>
        <v>0.99613747651752993</v>
      </c>
      <c r="AG18" s="4">
        <f t="shared" si="12"/>
        <v>0.9985186584962954</v>
      </c>
      <c r="AH18" s="4">
        <f t="shared" si="12"/>
        <v>0.99944742353154725</v>
      </c>
      <c r="AI18" s="4">
        <f t="shared" si="12"/>
        <v>0.99980545659782483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1"/>
        <v>6.9769370284580995E-3</v>
      </c>
      <c r="L19" s="4">
        <f t="shared" si="11"/>
        <v>9.0194322125440346E-2</v>
      </c>
      <c r="M19" s="4">
        <f t="shared" si="11"/>
        <v>0.61901880060648884</v>
      </c>
      <c r="N19" s="4">
        <f t="shared" si="11"/>
        <v>0.99465593445928724</v>
      </c>
      <c r="O19" s="4">
        <f t="shared" si="11"/>
        <v>0.96041218455121224</v>
      </c>
      <c r="P19" s="4">
        <f t="shared" ref="P19:Y19" si="13">((EXP(g*(ah-age)/gh)/(1+EXP((ah-age)/gh))) *(1/(1-g))*((1-g)/g)^g) *(sr_2+(1-sr_2)*dmr)</f>
        <v>0.70743533876272136</v>
      </c>
      <c r="Q19" s="4">
        <f t="shared" si="13"/>
        <v>0.6492599837541615</v>
      </c>
      <c r="R19" s="4">
        <f t="shared" si="13"/>
        <v>0.59574057607123032</v>
      </c>
      <c r="S19" s="4">
        <f t="shared" si="13"/>
        <v>0.54662506941470868</v>
      </c>
      <c r="T19" s="4">
        <f t="shared" si="13"/>
        <v>0.50155839141389946</v>
      </c>
      <c r="U19" s="4">
        <f t="shared" si="13"/>
        <v>0.46020722133927372</v>
      </c>
      <c r="V19" s="4">
        <f t="shared" si="13"/>
        <v>0.42226526227867622</v>
      </c>
      <c r="W19" s="4">
        <f t="shared" si="13"/>
        <v>0.38745144232994355</v>
      </c>
      <c r="X19" s="4">
        <f t="shared" si="13"/>
        <v>0.35550786098485632</v>
      </c>
      <c r="Y19" s="4">
        <f t="shared" si="13"/>
        <v>0.32619788033882458</v>
      </c>
      <c r="Z19" s="4">
        <f>Y19</f>
        <v>0.32619788033882458</v>
      </c>
      <c r="AA19" s="4">
        <f t="shared" ref="AA19:AI20" si="14">Z19</f>
        <v>0.32619788033882458</v>
      </c>
      <c r="AB19" s="4">
        <f t="shared" si="14"/>
        <v>0.32619788033882458</v>
      </c>
      <c r="AC19" s="4">
        <f t="shared" si="14"/>
        <v>0.32619788033882458</v>
      </c>
      <c r="AD19" s="4">
        <f t="shared" si="14"/>
        <v>0.32619788033882458</v>
      </c>
      <c r="AE19" s="4">
        <f t="shared" si="14"/>
        <v>0.32619788033882458</v>
      </c>
      <c r="AF19" s="4">
        <f t="shared" si="14"/>
        <v>0.32619788033882458</v>
      </c>
      <c r="AG19" s="4">
        <f t="shared" si="14"/>
        <v>0.32619788033882458</v>
      </c>
      <c r="AH19" s="4">
        <f t="shared" si="14"/>
        <v>0.32619788033882458</v>
      </c>
      <c r="AI19" s="4">
        <f t="shared" si="14"/>
        <v>0.32619788033882458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1"/>
        <v>6.427186273912825E-4</v>
      </c>
      <c r="L20" s="4">
        <f t="shared" si="11"/>
        <v>2.304264396173086E-3</v>
      </c>
      <c r="M20" s="4">
        <f t="shared" si="11"/>
        <v>8.2341978161840131E-3</v>
      </c>
      <c r="N20" s="4">
        <f t="shared" si="11"/>
        <v>2.9157603125779884E-2</v>
      </c>
      <c r="O20" s="4">
        <f t="shared" si="11"/>
        <v>9.9696143239982229E-2</v>
      </c>
      <c r="P20" s="4">
        <f t="shared" ref="P20:Y20" si="15">((EXP(g*(ah-age)/gh)/(1+EXP((ah-age)/gh))) *(1/(1-g))*((1-g)/g)^g) *(sr_3+(1-sr_3)*dmr)</f>
        <v>3.3247090371016599E-2</v>
      </c>
      <c r="Q20" s="4">
        <f t="shared" si="15"/>
        <v>0.52071142085930722</v>
      </c>
      <c r="R20" s="4">
        <f t="shared" si="15"/>
        <v>0.9390844473751867</v>
      </c>
      <c r="S20" s="4">
        <f t="shared" si="15"/>
        <v>0.99607472397654595</v>
      </c>
      <c r="T20" s="4">
        <f t="shared" si="15"/>
        <v>0.93522350057800274</v>
      </c>
      <c r="U20" s="4">
        <f t="shared" si="15"/>
        <v>0.8498760006410957</v>
      </c>
      <c r="V20" s="4">
        <f t="shared" si="15"/>
        <v>0.76585734156821039</v>
      </c>
      <c r="W20" s="4">
        <f t="shared" si="15"/>
        <v>0.6886827052361959</v>
      </c>
      <c r="X20" s="4">
        <f t="shared" si="15"/>
        <v>0.61895512421121124</v>
      </c>
      <c r="Y20" s="4">
        <f t="shared" si="15"/>
        <v>0.5562130005311563</v>
      </c>
      <c r="Z20" s="4">
        <f>Y20</f>
        <v>0.5562130005311563</v>
      </c>
      <c r="AA20" s="4">
        <f t="shared" si="14"/>
        <v>0.5562130005311563</v>
      </c>
      <c r="AB20" s="4">
        <f t="shared" si="14"/>
        <v>0.5562130005311563</v>
      </c>
      <c r="AC20" s="4">
        <f t="shared" si="14"/>
        <v>0.5562130005311563</v>
      </c>
      <c r="AD20" s="4">
        <f t="shared" si="14"/>
        <v>0.5562130005311563</v>
      </c>
      <c r="AE20" s="4">
        <f t="shared" si="14"/>
        <v>0.5562130005311563</v>
      </c>
      <c r="AF20" s="4">
        <f t="shared" si="14"/>
        <v>0.5562130005311563</v>
      </c>
      <c r="AG20" s="4">
        <f t="shared" si="14"/>
        <v>0.5562130005311563</v>
      </c>
      <c r="AH20" s="4">
        <f t="shared" si="14"/>
        <v>0.5562130005311563</v>
      </c>
      <c r="AI20" s="4">
        <f t="shared" si="14"/>
        <v>0.5562130005311563</v>
      </c>
    </row>
    <row r="21" spans="1:39">
      <c r="A21" t="s">
        <v>42</v>
      </c>
      <c r="B21" s="1">
        <f>Bo/phie</f>
        <v>10156.738776787859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6">wa*flt1_*(1-EXP(-za))/za</f>
        <v>4.5307231647173162E-8</v>
      </c>
      <c r="L22" s="1">
        <f t="shared" ca="1" si="16"/>
        <v>7.6307014950265283E-7</v>
      </c>
      <c r="M22" s="1">
        <f t="shared" ca="1" si="16"/>
        <v>5.8656609741108932E-6</v>
      </c>
      <c r="N22" s="1">
        <f t="shared" ca="1" si="16"/>
        <v>3.2185776312836644E-5</v>
      </c>
      <c r="O22" s="1">
        <f t="shared" ca="1" si="16"/>
        <v>1.46776402630583E-4</v>
      </c>
      <c r="P22" s="1">
        <f t="shared" ca="1" si="16"/>
        <v>5.950764252211036E-4</v>
      </c>
      <c r="Q22" s="1">
        <f t="shared" ca="1" si="16"/>
        <v>2.1982731667526323E-3</v>
      </c>
      <c r="R22" s="1">
        <f t="shared" ca="1" si="16"/>
        <v>7.6342495397504597E-3</v>
      </c>
      <c r="S22" s="1">
        <f t="shared" ca="1" si="16"/>
        <v>2.5356392584557966E-2</v>
      </c>
      <c r="T22" s="1">
        <f t="shared" ca="1" si="16"/>
        <v>8.1119074483934739E-2</v>
      </c>
      <c r="U22" s="1">
        <f t="shared" ca="1" si="16"/>
        <v>0.25105976588080331</v>
      </c>
      <c r="V22" s="1">
        <f t="shared" ca="1" si="16"/>
        <v>0.7517516258541781</v>
      </c>
      <c r="W22" s="1">
        <f t="shared" ca="1" si="16"/>
        <v>2.1595903316405867</v>
      </c>
      <c r="X22" s="1">
        <f t="shared" ca="1" si="16"/>
        <v>5.804655784420464</v>
      </c>
      <c r="Y22" s="1">
        <f t="shared" ca="1" si="16"/>
        <v>13.861487902631524</v>
      </c>
      <c r="Z22" s="1">
        <f t="shared" ca="1" si="16"/>
        <v>27.398536527707968</v>
      </c>
      <c r="AA22" s="1">
        <f t="shared" ca="1" si="16"/>
        <v>43.293929156201933</v>
      </c>
      <c r="AB22" s="1">
        <f t="shared" ca="1" si="16"/>
        <v>56.866515324196321</v>
      </c>
      <c r="AC22" s="1">
        <f t="shared" ca="1" si="16"/>
        <v>66.798812925767095</v>
      </c>
      <c r="AD22" s="1">
        <f t="shared" ca="1" si="16"/>
        <v>74.157354561271987</v>
      </c>
      <c r="AE22" s="1">
        <f t="shared" ca="1" si="16"/>
        <v>80.101019831423173</v>
      </c>
      <c r="AF22" s="1">
        <f t="shared" ca="1" si="16"/>
        <v>85.296559821028552</v>
      </c>
      <c r="AG22" s="1">
        <f t="shared" ca="1" si="16"/>
        <v>90.057376245696247</v>
      </c>
      <c r="AH22" s="1">
        <f t="shared" ca="1" si="16"/>
        <v>94.51891818776059</v>
      </c>
      <c r="AI22" s="1">
        <f t="shared" ca="1" si="16"/>
        <v>98.737636876265796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7">wa*flt2_*(1-EXP(-za))/za</f>
        <v>4.5449706309702998E-4</v>
      </c>
      <c r="L23" s="1">
        <f t="shared" ca="1" si="17"/>
        <v>3.8672902969414211E-2</v>
      </c>
      <c r="M23" s="1">
        <f t="shared" ca="1" si="17"/>
        <v>0.79802307433044883</v>
      </c>
      <c r="N23" s="1">
        <f t="shared" ca="1" si="17"/>
        <v>2.7521145806869396</v>
      </c>
      <c r="O23" s="1">
        <f t="shared" ca="1" si="17"/>
        <v>4.7400544977324595</v>
      </c>
      <c r="P23" s="1">
        <f t="shared" ca="1" si="17"/>
        <v>5.5370820405560455</v>
      </c>
      <c r="Q23" s="1">
        <f t="shared" ca="1" si="17"/>
        <v>7.3435333299970038</v>
      </c>
      <c r="R23" s="1">
        <f t="shared" ca="1" si="17"/>
        <v>9.1557005704530496</v>
      </c>
      <c r="S23" s="1">
        <f t="shared" ca="1" si="17"/>
        <v>10.92226258620909</v>
      </c>
      <c r="T23" s="1">
        <f t="shared" ca="1" si="17"/>
        <v>12.565185797624364</v>
      </c>
      <c r="U23" s="1">
        <f t="shared" ca="1" si="17"/>
        <v>14.027169362194156</v>
      </c>
      <c r="V23" s="1">
        <f t="shared" ca="1" si="17"/>
        <v>15.267336938821554</v>
      </c>
      <c r="W23" s="1">
        <f t="shared" ca="1" si="17"/>
        <v>16.250083685466745</v>
      </c>
      <c r="X23" s="1">
        <f t="shared" ca="1" si="17"/>
        <v>16.93188376407084</v>
      </c>
      <c r="Y23" s="1">
        <f t="shared" ca="1" si="17"/>
        <v>17.263831571905754</v>
      </c>
      <c r="Z23" s="1">
        <f t="shared" ca="1" si="17"/>
        <v>18.78803194706957</v>
      </c>
      <c r="AA23" s="1">
        <f t="shared" ca="1" si="17"/>
        <v>20.20976490191627</v>
      </c>
      <c r="AB23" s="1">
        <f t="shared" ca="1" si="17"/>
        <v>21.676052336405576</v>
      </c>
      <c r="AC23" s="1">
        <f t="shared" ca="1" si="17"/>
        <v>23.224816503968842</v>
      </c>
      <c r="AD23" s="1">
        <f t="shared" ca="1" si="17"/>
        <v>24.811953294179197</v>
      </c>
      <c r="AE23" s="1">
        <f t="shared" ca="1" si="17"/>
        <v>26.390399684295186</v>
      </c>
      <c r="AF23" s="1">
        <f t="shared" ca="1" si="17"/>
        <v>27.931442867789372</v>
      </c>
      <c r="AG23" s="1">
        <f t="shared" ca="1" si="17"/>
        <v>29.4201064649721</v>
      </c>
      <c r="AH23" s="1">
        <f t="shared" ca="1" si="17"/>
        <v>30.848917150460867</v>
      </c>
      <c r="AI23" s="1">
        <f t="shared" ca="1" si="17"/>
        <v>32.214274933346601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8">wa*flt3_*(1-EXP(-za))/za</f>
        <v>4.186847714915512E-5</v>
      </c>
      <c r="L24" s="1">
        <f t="shared" ca="1" si="18"/>
        <v>9.8800668721853321E-4</v>
      </c>
      <c r="M24" s="1">
        <f t="shared" ca="1" si="18"/>
        <v>1.0615315479074568E-2</v>
      </c>
      <c r="N24" s="1">
        <f t="shared" ca="1" si="18"/>
        <v>8.0676203620063405E-2</v>
      </c>
      <c r="O24" s="1">
        <f t="shared" ca="1" si="18"/>
        <v>0.49204410332640736</v>
      </c>
      <c r="P24" s="1">
        <f t="shared" ca="1" si="18"/>
        <v>0.26022430165288291</v>
      </c>
      <c r="Q24" s="1">
        <f t="shared" ca="1" si="18"/>
        <v>5.8895693097856201</v>
      </c>
      <c r="R24" s="1">
        <f t="shared" ca="1" si="18"/>
        <v>14.432416316575617</v>
      </c>
      <c r="S24" s="1">
        <f t="shared" ca="1" si="18"/>
        <v>19.90283706235159</v>
      </c>
      <c r="T24" s="1">
        <f t="shared" ca="1" si="18"/>
        <v>23.429489463709931</v>
      </c>
      <c r="U24" s="1">
        <f t="shared" ca="1" si="18"/>
        <v>25.904318848287307</v>
      </c>
      <c r="V24" s="1">
        <f t="shared" ca="1" si="18"/>
        <v>27.690182274750843</v>
      </c>
      <c r="W24" s="1">
        <f t="shared" ca="1" si="18"/>
        <v>28.884010666017129</v>
      </c>
      <c r="X24" s="1">
        <f t="shared" ca="1" si="18"/>
        <v>29.47916872861127</v>
      </c>
      <c r="Y24" s="1">
        <f t="shared" ca="1" si="18"/>
        <v>29.437246953598066</v>
      </c>
      <c r="Z24" s="1">
        <f t="shared" ca="1" si="18"/>
        <v>32.036221732955859</v>
      </c>
      <c r="AA24" s="1">
        <f t="shared" ca="1" si="18"/>
        <v>34.460475231929898</v>
      </c>
      <c r="AB24" s="1">
        <f t="shared" ca="1" si="18"/>
        <v>36.960700349062151</v>
      </c>
      <c r="AC24" s="1">
        <f t="shared" ca="1" si="18"/>
        <v>39.601559829389593</v>
      </c>
      <c r="AD24" s="1">
        <f t="shared" ca="1" si="18"/>
        <v>42.307849997245171</v>
      </c>
      <c r="AE24" s="1">
        <f t="shared" ca="1" si="18"/>
        <v>44.99932181769983</v>
      </c>
      <c r="AF24" s="1">
        <f t="shared" ca="1" si="18"/>
        <v>47.627015940509757</v>
      </c>
      <c r="AG24" s="1">
        <f t="shared" ca="1" si="18"/>
        <v>50.165395544051151</v>
      </c>
      <c r="AH24" s="1">
        <f t="shared" ca="1" si="18"/>
        <v>52.60171756349898</v>
      </c>
      <c r="AI24" s="1">
        <f t="shared" ca="1" si="18"/>
        <v>54.929843510941105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6.4578343418739383E-7</v>
      </c>
      <c r="L26">
        <f t="shared" ref="L26:AI26" ca="1" si="19">qa1_/wa</f>
        <v>1.6502852388947852E-6</v>
      </c>
      <c r="M26">
        <f t="shared" ca="1" si="19"/>
        <v>4.1847680691191973E-6</v>
      </c>
      <c r="N26">
        <f t="shared" ca="1" si="19"/>
        <v>1.0635272901943914E-5</v>
      </c>
      <c r="O26">
        <f t="shared" ca="1" si="19"/>
        <v>2.7186283463693622E-5</v>
      </c>
      <c r="P26">
        <f t="shared" ca="1" si="19"/>
        <v>6.9815256426918539E-5</v>
      </c>
      <c r="Q26">
        <f t="shared" ca="1" si="19"/>
        <v>1.7781581900108603E-4</v>
      </c>
      <c r="R26">
        <f t="shared" ca="1" si="19"/>
        <v>4.5305775706160962E-4</v>
      </c>
      <c r="S26">
        <f t="shared" ca="1" si="19"/>
        <v>1.1575720337423489E-3</v>
      </c>
      <c r="T26">
        <f t="shared" ca="1" si="19"/>
        <v>2.9567858294823422E-3</v>
      </c>
      <c r="U26">
        <f t="shared" ca="1" si="19"/>
        <v>7.5284969906802288E-3</v>
      </c>
      <c r="V26">
        <f t="shared" ca="1" si="19"/>
        <v>1.9005990837686376E-2</v>
      </c>
      <c r="W26">
        <f t="shared" ca="1" si="19"/>
        <v>4.6982345154647213E-2</v>
      </c>
      <c r="X26">
        <f t="shared" ca="1" si="19"/>
        <v>0.11054917723967855</v>
      </c>
      <c r="Y26">
        <f t="shared" ca="1" si="19"/>
        <v>0.23451277243047147</v>
      </c>
      <c r="Z26">
        <f t="shared" ca="1" si="19"/>
        <v>0.41699462547530142</v>
      </c>
      <c r="AA26">
        <f t="shared" ca="1" si="19"/>
        <v>0.59925910416523875</v>
      </c>
      <c r="AB26">
        <f t="shared" ca="1" si="19"/>
        <v>0.7227061334540491</v>
      </c>
      <c r="AC26">
        <f t="shared" ca="1" si="19"/>
        <v>0.78599138638307553</v>
      </c>
      <c r="AD26">
        <f t="shared" ca="1" si="19"/>
        <v>0.81385253588463391</v>
      </c>
      <c r="AE26">
        <f t="shared" ca="1" si="19"/>
        <v>0.8252889492810932</v>
      </c>
      <c r="AF26">
        <f t="shared" ca="1" si="19"/>
        <v>0.82984553234035074</v>
      </c>
      <c r="AG26">
        <f t="shared" ca="1" si="19"/>
        <v>0.83163717546296123</v>
      </c>
      <c r="AH26">
        <f t="shared" ca="1" si="19"/>
        <v>0.83233576285547772</v>
      </c>
      <c r="AI26">
        <f t="shared" ca="1" si="19"/>
        <v>0.83260502917222623</v>
      </c>
      <c r="AM26" s="44"/>
    </row>
    <row r="27" spans="1:39">
      <c r="A27" t="s">
        <v>14</v>
      </c>
      <c r="B27" s="28">
        <f ca="1">fbar*C27</f>
        <v>0.20690474865418648</v>
      </c>
      <c r="C27" s="36">
        <f ca="1">CHOOSE(C$25,E36,E39,1)</f>
        <v>2.4079843146322562</v>
      </c>
      <c r="E27" s="42">
        <f ca="1">f1_/(F4/(f1_*365*re*phib))</f>
        <v>376.54762115875712</v>
      </c>
      <c r="J27" s="8" t="s">
        <v>31</v>
      </c>
      <c r="K27">
        <f t="shared" ref="K27:AI27" ca="1" si="20">qa2_/wa</f>
        <v>6.4781418675179045E-3</v>
      </c>
      <c r="L27">
        <f t="shared" ca="1" si="20"/>
        <v>8.3637554105912115E-2</v>
      </c>
      <c r="M27">
        <f t="shared" ca="1" si="20"/>
        <v>0.56933762360593987</v>
      </c>
      <c r="N27">
        <f t="shared" ca="1" si="20"/>
        <v>0.90939206618890855</v>
      </c>
      <c r="O27">
        <f t="shared" ca="1" si="20"/>
        <v>0.87796446090210789</v>
      </c>
      <c r="P27">
        <f t="shared" ca="1" si="20"/>
        <v>0.64961874833921152</v>
      </c>
      <c r="Q27">
        <f t="shared" ca="1" si="20"/>
        <v>0.59401006807728041</v>
      </c>
      <c r="R27">
        <f t="shared" ca="1" si="20"/>
        <v>0.54334890982784745</v>
      </c>
      <c r="S27">
        <f t="shared" ca="1" si="20"/>
        <v>0.49862399285795062</v>
      </c>
      <c r="T27">
        <f t="shared" ca="1" si="20"/>
        <v>0.45800033527979161</v>
      </c>
      <c r="U27">
        <f t="shared" ca="1" si="20"/>
        <v>0.42063092810011787</v>
      </c>
      <c r="V27">
        <f t="shared" ca="1" si="20"/>
        <v>0.38599300087366817</v>
      </c>
      <c r="W27">
        <f t="shared" ca="1" si="20"/>
        <v>0.35352401301153885</v>
      </c>
      <c r="X27">
        <f t="shared" ca="1" si="20"/>
        <v>0.32246629063859017</v>
      </c>
      <c r="Y27">
        <f t="shared" ca="1" si="20"/>
        <v>0.29207463391658856</v>
      </c>
      <c r="Z27">
        <f t="shared" ca="1" si="20"/>
        <v>0.28594623429113758</v>
      </c>
      <c r="AA27">
        <f t="shared" ca="1" si="20"/>
        <v>0.27973634748689752</v>
      </c>
      <c r="AB27">
        <f t="shared" ca="1" si="20"/>
        <v>0.27547698119504349</v>
      </c>
      <c r="AC27">
        <f t="shared" ca="1" si="20"/>
        <v>0.27327590001835916</v>
      </c>
      <c r="AD27">
        <f t="shared" ca="1" si="20"/>
        <v>0.27230301334487722</v>
      </c>
      <c r="AE27">
        <f t="shared" ca="1" si="20"/>
        <v>0.27190297042904832</v>
      </c>
      <c r="AF27">
        <f t="shared" ca="1" si="20"/>
        <v>0.27174346918901637</v>
      </c>
      <c r="AG27">
        <f t="shared" ca="1" si="20"/>
        <v>0.27168073579667773</v>
      </c>
      <c r="AH27">
        <f t="shared" ca="1" si="20"/>
        <v>0.27165627243731183</v>
      </c>
      <c r="AI27">
        <f t="shared" ca="1" si="20"/>
        <v>0.27164684277640927</v>
      </c>
    </row>
    <row r="28" spans="1:39">
      <c r="A28" t="s">
        <v>15</v>
      </c>
      <c r="B28" s="28">
        <f ca="1">fbar*C28</f>
        <v>3.1605555567221229E-2</v>
      </c>
      <c r="C28" s="36">
        <f ca="1">CHOOSE(C$25,E37,E40,1)</f>
        <v>0.36782955710846099</v>
      </c>
      <c r="E28" s="42">
        <f ca="1">f2_/(F5/(f2_*365*re*phib))</f>
        <v>25.683270353762659</v>
      </c>
      <c r="J28" s="8" t="s">
        <v>32</v>
      </c>
      <c r="K28">
        <f t="shared" ref="K28:AI28" ca="1" si="21">qa3_/wa</f>
        <v>5.9676938922541278E-4</v>
      </c>
      <c r="L28">
        <f t="shared" ca="1" si="21"/>
        <v>2.1367535513069024E-3</v>
      </c>
      <c r="M28">
        <f t="shared" ca="1" si="21"/>
        <v>7.5733380187714503E-3</v>
      </c>
      <c r="N28">
        <f t="shared" ca="1" si="21"/>
        <v>2.6658155883907284E-2</v>
      </c>
      <c r="O28">
        <f t="shared" ca="1" si="21"/>
        <v>9.113760951982483E-2</v>
      </c>
      <c r="P28">
        <f t="shared" ca="1" si="21"/>
        <v>3.0529904359194789E-2</v>
      </c>
      <c r="Q28">
        <f t="shared" ca="1" si="21"/>
        <v>0.47640057033050121</v>
      </c>
      <c r="R28">
        <f t="shared" ca="1" si="21"/>
        <v>0.85649783011688885</v>
      </c>
      <c r="S28">
        <f t="shared" ca="1" si="21"/>
        <v>0.9086058870038024</v>
      </c>
      <c r="T28">
        <f t="shared" ca="1" si="21"/>
        <v>0.85400360986642121</v>
      </c>
      <c r="U28">
        <f t="shared" ca="1" si="21"/>
        <v>0.7767894860044714</v>
      </c>
      <c r="V28">
        <f t="shared" ca="1" si="21"/>
        <v>0.70007078469540396</v>
      </c>
      <c r="W28">
        <f t="shared" ca="1" si="21"/>
        <v>0.62837777085731816</v>
      </c>
      <c r="X28">
        <f t="shared" ca="1" si="21"/>
        <v>0.56142826890862829</v>
      </c>
      <c r="Y28">
        <f t="shared" ca="1" si="21"/>
        <v>0.49802809368669293</v>
      </c>
      <c r="Z28">
        <f t="shared" ca="1" si="21"/>
        <v>0.48757831534789586</v>
      </c>
      <c r="AA28">
        <f t="shared" ca="1" si="21"/>
        <v>0.47698958997433599</v>
      </c>
      <c r="AB28">
        <f t="shared" ca="1" si="21"/>
        <v>0.46972677482945346</v>
      </c>
      <c r="AC28">
        <f t="shared" ca="1" si="21"/>
        <v>0.46597362363048</v>
      </c>
      <c r="AD28">
        <f t="shared" ca="1" si="21"/>
        <v>0.46431471580657857</v>
      </c>
      <c r="AE28">
        <f t="shared" ca="1" si="21"/>
        <v>0.46363258669426399</v>
      </c>
      <c r="AF28">
        <f t="shared" ca="1" si="21"/>
        <v>0.46336061477582458</v>
      </c>
      <c r="AG28">
        <f t="shared" ca="1" si="21"/>
        <v>0.46325364556943388</v>
      </c>
      <c r="AH28">
        <f t="shared" ca="1" si="21"/>
        <v>0.46321193212083067</v>
      </c>
      <c r="AI28">
        <f t="shared" ca="1" si="21"/>
        <v>0.46319585323037565</v>
      </c>
    </row>
    <row r="29" spans="1:39">
      <c r="A29" t="s">
        <v>19</v>
      </c>
      <c r="B29" s="28">
        <f ca="1">fbar*C29</f>
        <v>1.9263071705816353E-2</v>
      </c>
      <c r="C29" s="36">
        <f ca="1">CHOOSE(C$25,E38,E41,1)</f>
        <v>0.224186128259283</v>
      </c>
      <c r="E29" s="42">
        <f ca="1">f3_/(F6/(f3_*365*re*phib))</f>
        <v>11.964615316174228</v>
      </c>
    </row>
    <row r="30" spans="1:39">
      <c r="A30" t="s">
        <v>95</v>
      </c>
      <c r="B30" s="28">
        <v>8.5924458642408025E-2</v>
      </c>
      <c r="C30" s="36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0.25777337592722405</v>
      </c>
      <c r="G31">
        <f ca="1">SUMPRODUCT(dlz1_,wa,ma)</f>
        <v>-49.217309837383119</v>
      </c>
      <c r="H31">
        <f ca="1">Ro/(reck-1)*phie/phif^2*dphif</f>
        <v>-2884.7871172687774</v>
      </c>
      <c r="J31" s="8" t="s">
        <v>52</v>
      </c>
      <c r="K31">
        <v>0</v>
      </c>
      <c r="L31">
        <f t="shared" ref="L31:AH31" ca="1" si="22">K31*sa-K$7*K18*K$10</f>
        <v>-5.9848858413756647E-7</v>
      </c>
      <c r="M31">
        <f t="shared" ca="1" si="22"/>
        <v>-1.8193491543087091E-6</v>
      </c>
      <c r="N31">
        <f t="shared" ca="1" si="22"/>
        <v>-4.3522315766265213E-6</v>
      </c>
      <c r="O31">
        <f t="shared" ca="1" si="22"/>
        <v>-9.6702664133573314E-6</v>
      </c>
      <c r="P31">
        <f t="shared" ca="1" si="22"/>
        <v>-2.100951308772678E-5</v>
      </c>
      <c r="Q31">
        <f t="shared" ca="1" si="22"/>
        <v>-4.5225280454547513E-5</v>
      </c>
      <c r="R31">
        <f t="shared" ca="1" si="22"/>
        <v>-9.6594144992723344E-5</v>
      </c>
      <c r="S31">
        <f t="shared" ca="1" si="22"/>
        <v>-2.0539136237589825E-4</v>
      </c>
      <c r="T31">
        <f t="shared" ca="1" si="22"/>
        <v>-4.3625100981003757E-4</v>
      </c>
      <c r="U31">
        <f t="shared" ca="1" si="22"/>
        <v>-9.2666112211180565E-4</v>
      </c>
      <c r="V31">
        <f t="shared" ca="1" si="22"/>
        <v>-1.9657529963682981E-3</v>
      </c>
      <c r="W31">
        <f t="shared" ca="1" si="22"/>
        <v>-4.1424446041225275E-3</v>
      </c>
      <c r="X31">
        <f t="shared" ca="1" si="22"/>
        <v>-8.558415572555024E-3</v>
      </c>
      <c r="Y31">
        <f t="shared" ca="1" si="22"/>
        <v>-1.6850949431639131E-2</v>
      </c>
      <c r="Z31">
        <f t="shared" ca="1" si="22"/>
        <v>-3.0058629946769361E-2</v>
      </c>
      <c r="AA31">
        <f t="shared" ca="1" si="22"/>
        <v>-4.5766940867248307E-2</v>
      </c>
      <c r="AB31">
        <f t="shared" ca="1" si="22"/>
        <v>-5.7859512673364387E-2</v>
      </c>
      <c r="AC31">
        <f t="shared" ca="1" si="22"/>
        <v>-6.224867955773658E-2</v>
      </c>
      <c r="AD31">
        <f t="shared" ca="1" si="22"/>
        <v>-5.9688001433537086E-2</v>
      </c>
      <c r="AE31">
        <f t="shared" ca="1" si="22"/>
        <v>-5.3018565246091789E-2</v>
      </c>
      <c r="AF31">
        <f t="shared" ca="1" si="22"/>
        <v>-4.4751954208763954E-2</v>
      </c>
      <c r="AG31">
        <f t="shared" ca="1" si="22"/>
        <v>-3.6466507446800293E-2</v>
      </c>
      <c r="AH31">
        <f t="shared" ca="1" si="22"/>
        <v>-2.8970740171772168E-2</v>
      </c>
      <c r="AI31">
        <f ca="1">(AH31*sa-AH$7*AH18*AH$10)/oa-AH$7*AH$10*flt1_*sa/oa^2</f>
        <v>-9.0652981194387458E-2</v>
      </c>
    </row>
    <row r="32" spans="1:39">
      <c r="A32" s="12" t="s">
        <v>22</v>
      </c>
      <c r="B32" s="12"/>
      <c r="C32" s="12"/>
      <c r="G32">
        <f ca="1">SUMPRODUCT(dlz2_,wa,ma)</f>
        <v>-269.25558354720323</v>
      </c>
      <c r="H32">
        <f ca="1">Ro/(reck-1)*phie/phif^2*dphif</f>
        <v>-15781.948286813522</v>
      </c>
      <c r="J32" s="8" t="s">
        <v>53</v>
      </c>
      <c r="K32">
        <v>0</v>
      </c>
      <c r="L32">
        <f t="shared" ref="L32:AH32" ca="1" si="23">K32*sa-K$7*K19*K$10</f>
        <v>-6.0037061170696163E-3</v>
      </c>
      <c r="M32">
        <f t="shared" ca="1" si="23"/>
        <v>-7.1675403410739608E-2</v>
      </c>
      <c r="N32">
        <f t="shared" ca="1" si="23"/>
        <v>-0.44553482760245122</v>
      </c>
      <c r="O32">
        <f t="shared" ca="1" si="23"/>
        <v>-0.88803610265986044</v>
      </c>
      <c r="P32">
        <f t="shared" ca="1" si="23"/>
        <v>-1.162759325620093</v>
      </c>
      <c r="Q32">
        <f t="shared" ca="1" si="23"/>
        <v>-1.2282674123356112</v>
      </c>
      <c r="R32">
        <f t="shared" ca="1" si="23"/>
        <v>-1.2161297348638116</v>
      </c>
      <c r="S32">
        <f t="shared" ca="1" si="23"/>
        <v>-1.1591986621602135</v>
      </c>
      <c r="T32">
        <f t="shared" ca="1" si="23"/>
        <v>-1.0782122043754174</v>
      </c>
      <c r="U32">
        <f t="shared" ca="1" si="23"/>
        <v>-0.98548435185957173</v>
      </c>
      <c r="V32">
        <f t="shared" ca="1" si="23"/>
        <v>-0.88786042452231384</v>
      </c>
      <c r="W32">
        <f t="shared" ca="1" si="23"/>
        <v>-0.78803290699828221</v>
      </c>
      <c r="X32">
        <f t="shared" ca="1" si="23"/>
        <v>-0.68507271695636229</v>
      </c>
      <c r="Y32">
        <f t="shared" ca="1" si="23"/>
        <v>-0.57614736269040667</v>
      </c>
      <c r="Z32">
        <f t="shared" ca="1" si="23"/>
        <v>-0.46146890453844297</v>
      </c>
      <c r="AA32">
        <f t="shared" ca="1" si="23"/>
        <v>-0.35292092664392111</v>
      </c>
      <c r="AB32">
        <f t="shared" ca="1" si="23"/>
        <v>-0.26110048745715381</v>
      </c>
      <c r="AC32">
        <f t="shared" ca="1" si="23"/>
        <v>-0.18964874443485769</v>
      </c>
      <c r="AD32">
        <f t="shared" ca="1" si="23"/>
        <v>-0.13648219096733585</v>
      </c>
      <c r="AE32">
        <f t="shared" ca="1" si="23"/>
        <v>-9.7746060440107196E-2</v>
      </c>
      <c r="AF32">
        <f t="shared" ca="1" si="23"/>
        <v>-6.9801233054493914E-2</v>
      </c>
      <c r="AG32">
        <f t="shared" ca="1" si="23"/>
        <v>-4.9743854677092116E-2</v>
      </c>
      <c r="AH32">
        <f t="shared" ca="1" si="23"/>
        <v>-3.5391917573407136E-2</v>
      </c>
      <c r="AI32">
        <f ca="1">(AH32*sa-AH$7*AH19*AH$10)/oa-AH$7*AH$10*flt2_*sa/oa^2</f>
        <v>-8.6066839189725311E-2</v>
      </c>
    </row>
    <row r="33" spans="1:35">
      <c r="A33" s="59" t="s">
        <v>130</v>
      </c>
      <c r="B33" s="60">
        <f ca="1">SUMPRODUCT(lz,wa)</f>
        <v>76.791209605204571</v>
      </c>
      <c r="C33" s="59"/>
      <c r="D33" s="61"/>
      <c r="E33" s="61"/>
      <c r="G33">
        <f ca="1">SUMPRODUCT(dlz3_,wa,ma)</f>
        <v>-240.47414176930306</v>
      </c>
      <c r="H33">
        <f ca="1">Ro/(reck-1)*phie/phif^2*dphif</f>
        <v>-14094.974075268066</v>
      </c>
      <c r="J33" s="8" t="s">
        <v>54</v>
      </c>
      <c r="K33">
        <v>0</v>
      </c>
      <c r="L33">
        <f t="shared" ref="L33:AH33" ca="1" si="24">K33*sa-K$7*K20*K$10</f>
        <v>-5.5306415108585263E-4</v>
      </c>
      <c r="M33">
        <f t="shared" ca="1" si="24"/>
        <v>-2.1684386030292632E-3</v>
      </c>
      <c r="N33">
        <f t="shared" ca="1" si="24"/>
        <v>-6.9393455608284145E-3</v>
      </c>
      <c r="O33">
        <f t="shared" ca="1" si="24"/>
        <v>-2.0930932544557676E-2</v>
      </c>
      <c r="P33">
        <f t="shared" ca="1" si="24"/>
        <v>-6.0768927980780679E-2</v>
      </c>
      <c r="Q33">
        <f t="shared" ca="1" si="24"/>
        <v>-6.2835904212119792E-2</v>
      </c>
      <c r="R33">
        <f t="shared" ca="1" si="24"/>
        <v>-0.21041203330810554</v>
      </c>
      <c r="S33">
        <f t="shared" ca="1" si="24"/>
        <v>-0.41135570858737508</v>
      </c>
      <c r="T33">
        <f t="shared" ca="1" si="24"/>
        <v>-0.55041174315441399</v>
      </c>
      <c r="U33">
        <f t="shared" ca="1" si="24"/>
        <v>-0.6212153428487901</v>
      </c>
      <c r="V33">
        <f t="shared" ca="1" si="24"/>
        <v>-0.6407936569654028</v>
      </c>
      <c r="W33">
        <f t="shared" ca="1" si="24"/>
        <v>-0.62442204527494072</v>
      </c>
      <c r="X33">
        <f t="shared" ca="1" si="24"/>
        <v>-0.58109644168966845</v>
      </c>
      <c r="Y33">
        <f t="shared" ca="1" si="24"/>
        <v>-0.51479407646872177</v>
      </c>
      <c r="Z33">
        <f t="shared" ca="1" si="24"/>
        <v>-0.42970185664203986</v>
      </c>
      <c r="AA33">
        <f t="shared" ca="1" si="24"/>
        <v>-0.34128110341004103</v>
      </c>
      <c r="AB33">
        <f t="shared" ca="1" si="24"/>
        <v>-0.26129121893586849</v>
      </c>
      <c r="AC33">
        <f t="shared" ca="1" si="24"/>
        <v>-0.19571811526465577</v>
      </c>
      <c r="AD33">
        <f t="shared" ca="1" si="24"/>
        <v>-0.14478387895811004</v>
      </c>
      <c r="AE33">
        <f t="shared" ca="1" si="24"/>
        <v>-0.10628533092063028</v>
      </c>
      <c r="AF33">
        <f t="shared" ca="1" si="24"/>
        <v>-7.7606934820726683E-2</v>
      </c>
      <c r="AG33">
        <f t="shared" ca="1" si="24"/>
        <v>-5.6431420647774302E-2</v>
      </c>
      <c r="AH33">
        <f t="shared" ca="1" si="24"/>
        <v>-4.089168197540502E-2</v>
      </c>
      <c r="AI33">
        <f ca="1">(AH33*sa-AH$7*AH20*AH$10)/oa-AH$7*AH$10*flt3_*sa/oa^2</f>
        <v>-0.10438562444763361</v>
      </c>
    </row>
    <row r="34" spans="1:35">
      <c r="A34" t="s">
        <v>28</v>
      </c>
      <c r="B34" s="1">
        <f>SUMPRODUCT(lx,wa,ma)</f>
        <v>98.456800157683801</v>
      </c>
      <c r="G34" t="s">
        <v>57</v>
      </c>
      <c r="J34" s="8"/>
    </row>
    <row r="35" spans="1:35">
      <c r="A35" t="s">
        <v>27</v>
      </c>
      <c r="B35" s="1">
        <f ca="1">SUMPRODUCT(lz,wa,ma)</f>
        <v>39.382720063007362</v>
      </c>
      <c r="F35" s="37"/>
      <c r="G35" s="1">
        <f ca="1">SUM(dqa11_)</f>
        <v>673.63434595019658</v>
      </c>
      <c r="H35" s="1">
        <f ca="1">SUM(dqa12_)</f>
        <v>676.47181376154663</v>
      </c>
      <c r="I35" s="11">
        <f ca="1">SUM(dqa13_)</f>
        <v>674.83930512279585</v>
      </c>
      <c r="J35" s="8" t="s">
        <v>62</v>
      </c>
      <c r="K35">
        <f ca="1">flt1_*qa1_+lz*wa*flt1_^2/za*(sa-oa/za)</f>
        <v>1.6150096169251405E-14</v>
      </c>
      <c r="L35">
        <f t="shared" ref="L35:AI35" ca="1" si="25">flt1_*qa1_+lz*wa*flt1_^2/za*(sa-oa/za)</f>
        <v>7.8860160807595951E-13</v>
      </c>
      <c r="M35">
        <f t="shared" ca="1" si="25"/>
        <v>1.7112273335867705E-11</v>
      </c>
      <c r="N35">
        <f t="shared" ca="1" si="25"/>
        <v>2.6126890049909817E-10</v>
      </c>
      <c r="O35">
        <f t="shared" ca="1" si="25"/>
        <v>3.2655978766392872E-9</v>
      </c>
      <c r="P35">
        <f t="shared" ca="1" si="25"/>
        <v>3.5731299527678819E-8</v>
      </c>
      <c r="Q35">
        <f t="shared" ca="1" si="25"/>
        <v>3.517913544679624E-7</v>
      </c>
      <c r="R35">
        <f t="shared" ca="1" si="25"/>
        <v>3.233801718929727E-6</v>
      </c>
      <c r="S35">
        <f t="shared" ca="1" si="25"/>
        <v>2.8246989925363707E-5</v>
      </c>
      <c r="T35">
        <f t="shared" ca="1" si="25"/>
        <v>2.3603341476543833E-4</v>
      </c>
      <c r="U35">
        <f t="shared" ca="1" si="25"/>
        <v>1.8935574186693992E-3</v>
      </c>
      <c r="V35">
        <f t="shared" ca="1" si="25"/>
        <v>1.4532336081031213E-2</v>
      </c>
      <c r="W35">
        <f t="shared" ca="1" si="25"/>
        <v>0.10469448901992609</v>
      </c>
      <c r="X35">
        <f t="shared" ca="1" si="25"/>
        <v>0.67316670447091931</v>
      </c>
      <c r="Y35">
        <f t="shared" ca="1" si="25"/>
        <v>3.4868583317185582</v>
      </c>
      <c r="Z35">
        <f t="shared" ca="1" si="25"/>
        <v>12.624833590760861</v>
      </c>
      <c r="AA35">
        <f t="shared" ca="1" si="25"/>
        <v>29.534980591751399</v>
      </c>
      <c r="AB35">
        <f t="shared" ca="1" si="25"/>
        <v>47.826675358524142</v>
      </c>
      <c r="AC35">
        <f t="shared" ca="1" si="25"/>
        <v>61.911261868875009</v>
      </c>
      <c r="AD35">
        <f t="shared" ca="1" si="25"/>
        <v>71.690899854969302</v>
      </c>
      <c r="AE35">
        <f t="shared" ca="1" si="25"/>
        <v>78.848173402445497</v>
      </c>
      <c r="AF35">
        <f t="shared" ca="1" si="25"/>
        <v>84.629653367766053</v>
      </c>
      <c r="AG35">
        <f t="shared" ca="1" si="25"/>
        <v>89.679060524526804</v>
      </c>
      <c r="AH35">
        <f t="shared" ca="1" si="25"/>
        <v>94.290331035479767</v>
      </c>
      <c r="AI35">
        <f t="shared" ca="1" si="25"/>
        <v>98.31706303111477</v>
      </c>
    </row>
    <row r="36" spans="1:35">
      <c r="A36" t="s">
        <v>33</v>
      </c>
      <c r="B36" s="1">
        <f ca="1">SUMPRODUCT(lz,ta1_)</f>
        <v>0.19254653806605007</v>
      </c>
      <c r="C36" s="29">
        <f ca="1">B11/(phi_t1/SUM(B$36:B$38))</f>
        <v>5.8672572957863656</v>
      </c>
      <c r="E36" s="38">
        <f ca="1">C36/AVERAGE(C$36:C$38)</f>
        <v>2.4079843146322562</v>
      </c>
      <c r="G36" s="1">
        <f ca="1">SUM(dqa21_)</f>
        <v>676.47181376154663</v>
      </c>
      <c r="H36" s="1">
        <f ca="1">SUM(dqa22_)</f>
        <v>139.72376565589366</v>
      </c>
      <c r="I36" s="11">
        <f ca="1">SUM(dqa23_)</f>
        <v>669.3850113030162</v>
      </c>
      <c r="J36" s="8" t="s">
        <v>63</v>
      </c>
      <c r="K36">
        <f t="shared" ref="K36:AI36" ca="1" si="26">flt2_*qa2_+lz*wa*flt2_^2/za*(sa-oa/za)</f>
        <v>1.6251828157147244E-6</v>
      </c>
      <c r="L36">
        <f t="shared" ca="1" si="26"/>
        <v>2.0255467712547229E-3</v>
      </c>
      <c r="M36">
        <f t="shared" ca="1" si="26"/>
        <v>0.31674129698630182</v>
      </c>
      <c r="N36">
        <f t="shared" ca="1" si="26"/>
        <v>1.9102612355372708</v>
      </c>
      <c r="O36">
        <f t="shared" ca="1" si="26"/>
        <v>3.4057823949795019</v>
      </c>
      <c r="P36">
        <f t="shared" ca="1" si="26"/>
        <v>3.0936076806806625</v>
      </c>
      <c r="Q36">
        <f t="shared" ca="1" si="26"/>
        <v>3.9258344831550773</v>
      </c>
      <c r="R36">
        <f t="shared" ca="1" si="26"/>
        <v>4.651187490657227</v>
      </c>
      <c r="S36">
        <f t="shared" ca="1" si="26"/>
        <v>5.2411002568492195</v>
      </c>
      <c r="T36">
        <f t="shared" ca="1" si="26"/>
        <v>5.6632449320667364</v>
      </c>
      <c r="U36">
        <f t="shared" ca="1" si="26"/>
        <v>5.9110457557873683</v>
      </c>
      <c r="V36">
        <f t="shared" ca="1" si="26"/>
        <v>5.9939520089160823</v>
      </c>
      <c r="W36">
        <f t="shared" ca="1" si="26"/>
        <v>5.9277827191647017</v>
      </c>
      <c r="X36">
        <f t="shared" ca="1" si="26"/>
        <v>5.7276997197540194</v>
      </c>
      <c r="Y36">
        <f t="shared" ca="1" si="26"/>
        <v>5.4086512970007838</v>
      </c>
      <c r="Z36">
        <f t="shared" ca="1" si="26"/>
        <v>5.9365415319148855</v>
      </c>
      <c r="AA36">
        <f t="shared" ca="1" si="26"/>
        <v>6.4358395512893365</v>
      </c>
      <c r="AB36">
        <f t="shared" ca="1" si="26"/>
        <v>6.948920474125603</v>
      </c>
      <c r="AC36">
        <f t="shared" ca="1" si="26"/>
        <v>7.484051185791702</v>
      </c>
      <c r="AD36">
        <f t="shared" ca="1" si="26"/>
        <v>8.0255995146442132</v>
      </c>
      <c r="AE36">
        <f t="shared" ca="1" si="26"/>
        <v>8.5586936464688659</v>
      </c>
      <c r="AF36">
        <f t="shared" ca="1" si="26"/>
        <v>9.0749924544366554</v>
      </c>
      <c r="AG36">
        <f t="shared" ca="1" si="26"/>
        <v>9.5706393281116195</v>
      </c>
      <c r="AH36">
        <f t="shared" ca="1" si="26"/>
        <v>10.044065222664839</v>
      </c>
      <c r="AI36">
        <f t="shared" ca="1" si="26"/>
        <v>10.465504302956891</v>
      </c>
    </row>
    <row r="37" spans="1:35">
      <c r="A37" t="s">
        <v>34</v>
      </c>
      <c r="B37" s="1">
        <f ca="1">SUMPRODUCT(lz,ta2_)</f>
        <v>2.699646254943203</v>
      </c>
      <c r="C37" s="29">
        <f ca="1">B12/(phi_t2/SUM(B$36:B$38))</f>
        <v>0.89624780337494658</v>
      </c>
      <c r="E37" s="38">
        <f ca="1">C37/AVERAGE(C$36:C$38)</f>
        <v>0.36782955710846105</v>
      </c>
      <c r="G37" s="1">
        <f ca="1">SUM(dqa31_)</f>
        <v>674.83930512279585</v>
      </c>
      <c r="H37" s="1">
        <f ca="1">SUM(dqa32_)</f>
        <v>669.3850113030162</v>
      </c>
      <c r="I37" s="1">
        <f ca="1">SUM(dqa33_)</f>
        <v>382.91226181421894</v>
      </c>
      <c r="J37" s="8" t="s">
        <v>64</v>
      </c>
      <c r="K37">
        <f t="shared" ref="K37:AI37" ca="1" si="27">flt3_*qa3_+lz*wa*flt3_^2/za*(sa-oa/za)</f>
        <v>1.3791591622774449E-8</v>
      </c>
      <c r="L37">
        <f t="shared" ca="1" si="27"/>
        <v>1.3220518766626023E-6</v>
      </c>
      <c r="M37">
        <f t="shared" ca="1" si="27"/>
        <v>5.6045352387624644E-5</v>
      </c>
      <c r="N37">
        <f t="shared" ca="1" si="27"/>
        <v>1.6415368905513305E-3</v>
      </c>
      <c r="O37">
        <f t="shared" ca="1" si="27"/>
        <v>3.6699343005553692E-2</v>
      </c>
      <c r="P37">
        <f t="shared" ca="1" si="27"/>
        <v>6.8328049602170531E-3</v>
      </c>
      <c r="Q37">
        <f t="shared" ca="1" si="27"/>
        <v>2.5251601019177108</v>
      </c>
      <c r="R37">
        <f t="shared" ca="1" si="27"/>
        <v>11.557363701813156</v>
      </c>
      <c r="S37">
        <f t="shared" ca="1" si="27"/>
        <v>17.403124050168856</v>
      </c>
      <c r="T37">
        <f t="shared" ca="1" si="27"/>
        <v>19.690337766823102</v>
      </c>
      <c r="U37">
        <f t="shared" ca="1" si="27"/>
        <v>20.158981853872504</v>
      </c>
      <c r="V37">
        <f t="shared" ca="1" si="27"/>
        <v>19.716885300808848</v>
      </c>
      <c r="W37">
        <f t="shared" ca="1" si="27"/>
        <v>18.728201182232478</v>
      </c>
      <c r="X37">
        <f t="shared" ca="1" si="27"/>
        <v>17.362015934533584</v>
      </c>
      <c r="Y37">
        <f t="shared" ca="1" si="27"/>
        <v>15.725663727422443</v>
      </c>
      <c r="Z37">
        <f t="shared" ca="1" si="27"/>
        <v>17.260505569390055</v>
      </c>
      <c r="AA37">
        <f t="shared" ca="1" si="27"/>
        <v>18.712215491382004</v>
      </c>
      <c r="AB37">
        <f t="shared" ca="1" si="27"/>
        <v>20.203999230879671</v>
      </c>
      <c r="AC37">
        <f t="shared" ca="1" si="27"/>
        <v>21.759892772499512</v>
      </c>
      <c r="AD37">
        <f t="shared" ca="1" si="27"/>
        <v>23.334445548050901</v>
      </c>
      <c r="AE37">
        <f t="shared" ca="1" si="27"/>
        <v>24.884417729985689</v>
      </c>
      <c r="AF37">
        <f t="shared" ca="1" si="27"/>
        <v>26.385557476501191</v>
      </c>
      <c r="AG37">
        <f t="shared" ca="1" si="27"/>
        <v>27.826651685566372</v>
      </c>
      <c r="AH37">
        <f t="shared" ca="1" si="27"/>
        <v>29.203138356416545</v>
      </c>
      <c r="AI37">
        <f t="shared" ca="1" si="27"/>
        <v>30.428473267902149</v>
      </c>
    </row>
    <row r="38" spans="1:35">
      <c r="A38" t="s">
        <v>35</v>
      </c>
      <c r="B38" s="1">
        <f ca="1">SUMPRODUCT(lz,ta3_)</f>
        <v>1.4481037285850156</v>
      </c>
      <c r="C38" s="29">
        <f ca="1">B13/(phi_t3/SUM(B$36:B$38))</f>
        <v>0.54624844881693357</v>
      </c>
      <c r="E38" s="38">
        <f ca="1">C38/AVERAGE(C$36:C$38)</f>
        <v>0.22418612825928311</v>
      </c>
      <c r="G38" t="s">
        <v>69</v>
      </c>
      <c r="J38" s="8" t="s">
        <v>60</v>
      </c>
      <c r="K38">
        <f t="shared" ref="K38:AI38" ca="1" si="28">flt1_*qa1_+lz*wa*flt2_*flt1_/za*(sa-oa/za)</f>
        <v>-1.5406536754510379E-10</v>
      </c>
      <c r="L38">
        <f t="shared" ca="1" si="28"/>
        <v>-2.8856382583521781E-8</v>
      </c>
      <c r="M38">
        <f t="shared" ca="1" si="28"/>
        <v>-1.3028032404574229E-6</v>
      </c>
      <c r="N38">
        <f t="shared" ca="1" si="28"/>
        <v>-9.6730352617220349E-6</v>
      </c>
      <c r="O38">
        <f t="shared" ca="1" si="28"/>
        <v>-3.5500986642547403E-5</v>
      </c>
      <c r="P38">
        <f t="shared" ca="1" si="28"/>
        <v>-8.8459357813215256E-5</v>
      </c>
      <c r="Q38">
        <f t="shared" ca="1" si="28"/>
        <v>-2.516322391922584E-4</v>
      </c>
      <c r="R38">
        <f t="shared" ca="1" si="28"/>
        <v>-6.6596481169249166E-4</v>
      </c>
      <c r="S38">
        <f t="shared" ca="1" si="28"/>
        <v>-1.6608753991499792E-3</v>
      </c>
      <c r="T38">
        <f t="shared" ca="1" si="28"/>
        <v>-3.8621759487046112E-3</v>
      </c>
      <c r="U38">
        <f t="shared" ca="1" si="28"/>
        <v>-7.6750544567305299E-3</v>
      </c>
      <c r="V38">
        <f t="shared" ca="1" si="28"/>
        <v>-6.670703310539712E-3</v>
      </c>
      <c r="W38">
        <f t="shared" ca="1" si="28"/>
        <v>6.2249139275603584E-2</v>
      </c>
      <c r="X38">
        <f t="shared" ca="1" si="28"/>
        <v>0.60744388036766328</v>
      </c>
      <c r="Y38">
        <f t="shared" ca="1" si="28"/>
        <v>3.4516067920683122</v>
      </c>
      <c r="Z38">
        <f t="shared" ca="1" si="28"/>
        <v>12.753203570416355</v>
      </c>
      <c r="AA38">
        <f t="shared" ca="1" si="28"/>
        <v>29.918027596541098</v>
      </c>
      <c r="AB38">
        <f t="shared" ca="1" si="28"/>
        <v>48.345275296736816</v>
      </c>
      <c r="AC38">
        <f t="shared" ca="1" si="28"/>
        <v>62.406824447878158</v>
      </c>
      <c r="AD38">
        <f t="shared" ca="1" si="28"/>
        <v>72.095133990526648</v>
      </c>
      <c r="AE38">
        <f t="shared" ca="1" si="28"/>
        <v>79.155800850991426</v>
      </c>
      <c r="AF38">
        <f t="shared" ca="1" si="28"/>
        <v>84.856598713381885</v>
      </c>
      <c r="AG38">
        <f t="shared" ca="1" si="28"/>
        <v>89.84396287764126</v>
      </c>
      <c r="AH38">
        <f t="shared" ca="1" si="28"/>
        <v>94.409129773446153</v>
      </c>
      <c r="AI38">
        <f t="shared" ca="1" si="28"/>
        <v>98.587478203634717</v>
      </c>
    </row>
    <row r="39" spans="1:35">
      <c r="A39" s="1" t="s">
        <v>36</v>
      </c>
      <c r="B39" s="1">
        <f ca="1">SUMPRODUCT(lz,qa1_)</f>
        <v>14.729301238347084</v>
      </c>
      <c r="C39" s="23">
        <f ca="1">B4/(phi_q1/SUM(B$39:B$41))</f>
        <v>3.7244359076423157</v>
      </c>
      <c r="D39" s="21"/>
      <c r="E39" s="39">
        <f ca="1">C39/AVERAGE(C$39:C$41)</f>
        <v>2.3747166952994094</v>
      </c>
      <c r="G39" s="1">
        <f ca="1">re*phi_q1+f1_*phi_q1*$H31+f1_*re*G35</f>
        <v>1342997.1782204702</v>
      </c>
      <c r="H39" s="1">
        <f ca="1">re*phi_q1+f1_*phi_q1*$H32+f1_*re*H35</f>
        <v>1308842.0305898855</v>
      </c>
      <c r="I39" s="1">
        <f ca="1">re*phi_q1+f1_*phi_q1*$H33+f1_*re*I35</f>
        <v>1311020.3295907038</v>
      </c>
      <c r="J39" s="8" t="s">
        <v>66</v>
      </c>
      <c r="K39">
        <f t="shared" ref="K39:AI39" ca="1" si="29">flt1_*qa1_+lz*wa*flt3_*flt1_/za*(sa-oa/za)</f>
        <v>-1.4163963436866252E-11</v>
      </c>
      <c r="L39">
        <f t="shared" ca="1" si="29"/>
        <v>-7.3589310603462645E-10</v>
      </c>
      <c r="M39">
        <f t="shared" ca="1" si="29"/>
        <v>-1.7303575807241411E-8</v>
      </c>
      <c r="N39">
        <f t="shared" ca="1" si="29"/>
        <v>-2.8319445156267677E-7</v>
      </c>
      <c r="O39">
        <f t="shared" ca="1" si="29"/>
        <v>-3.6812885745392475E-6</v>
      </c>
      <c r="P39">
        <f t="shared" ca="1" si="29"/>
        <v>-4.1141766785183501E-6</v>
      </c>
      <c r="Q39">
        <f t="shared" ca="1" si="29"/>
        <v>-2.0172636904103612E-4</v>
      </c>
      <c r="R39">
        <f t="shared" ca="1" si="29"/>
        <v>-1.0519666985173456E-3</v>
      </c>
      <c r="S39">
        <f t="shared" ca="1" si="29"/>
        <v>-3.0529484467537093E-3</v>
      </c>
      <c r="T39">
        <f t="shared" ca="1" si="29"/>
        <v>-7.4286572884273445E-3</v>
      </c>
      <c r="U39">
        <f t="shared" ca="1" si="29"/>
        <v>-1.5924686388298828E-2</v>
      </c>
      <c r="V39">
        <f t="shared" ca="1" si="29"/>
        <v>-2.4816859551156045E-2</v>
      </c>
      <c r="W39">
        <f t="shared" ca="1" si="29"/>
        <v>2.4191461956017124E-2</v>
      </c>
      <c r="X39">
        <f t="shared" ca="1" si="29"/>
        <v>0.53333350856562634</v>
      </c>
      <c r="Y39">
        <f t="shared" ca="1" si="29"/>
        <v>3.3254785473286574</v>
      </c>
      <c r="Z39">
        <f t="shared" ca="1" si="29"/>
        <v>12.555692514315128</v>
      </c>
      <c r="AA39">
        <f t="shared" ca="1" si="29"/>
        <v>29.681558480834475</v>
      </c>
      <c r="AB39">
        <f t="shared" ca="1" si="29"/>
        <v>48.120026270666422</v>
      </c>
      <c r="AC39">
        <f t="shared" ca="1" si="29"/>
        <v>62.220573430655463</v>
      </c>
      <c r="AD39">
        <f t="shared" ca="1" si="29"/>
        <v>71.951808807268264</v>
      </c>
      <c r="AE39">
        <f t="shared" ca="1" si="29"/>
        <v>79.049218293940172</v>
      </c>
      <c r="AF39">
        <f t="shared" ca="1" si="29"/>
        <v>84.778679955860056</v>
      </c>
      <c r="AG39">
        <f t="shared" ca="1" si="29"/>
        <v>89.787546304178264</v>
      </c>
      <c r="AH39">
        <f t="shared" ca="1" si="29"/>
        <v>94.368542288065257</v>
      </c>
      <c r="AI39">
        <f t="shared" ca="1" si="29"/>
        <v>98.495140200617527</v>
      </c>
    </row>
    <row r="40" spans="1:35">
      <c r="A40" s="1" t="s">
        <v>37</v>
      </c>
      <c r="B40" s="1">
        <f ca="1">SUMPRODUCT(lz,qa2_)</f>
        <v>32.9871427455382</v>
      </c>
      <c r="C40" s="23">
        <f ca="1">B5/(phi_q2/SUM(B$39:B$41))</f>
        <v>0.6202125286097353</v>
      </c>
      <c r="D40" s="21"/>
      <c r="E40" s="39">
        <f ca="1">C40/AVERAGE(C$39:C$41)</f>
        <v>0.39545023269194818</v>
      </c>
      <c r="G40" s="1">
        <f ca="1">re*phi_q1+f1_*phi_q1*$H32+f1_*re*G36</f>
        <v>1308842.0305898855</v>
      </c>
      <c r="H40" s="1">
        <f ca="1">re*phi_q2+f2_*phi_q2*$H32+f2_*re*H36</f>
        <v>311636.74830051546</v>
      </c>
      <c r="I40" s="1">
        <f ca="1">re*phi_q3+f3_*phi_q3*$H33+f3_*re*I36</f>
        <v>479956.16152407543</v>
      </c>
      <c r="J40" s="8" t="s">
        <v>65</v>
      </c>
      <c r="K40">
        <f t="shared" ref="K40:AI40" ca="1" si="30">flt1_*qa1_+lz*wa*flt1_*flt2_/za*(sa-oa/za)</f>
        <v>-1.5406536754510376E-10</v>
      </c>
      <c r="L40">
        <f t="shared" ca="1" si="30"/>
        <v>-2.8856382583521781E-8</v>
      </c>
      <c r="M40">
        <f t="shared" ca="1" si="30"/>
        <v>-1.3028032404574231E-6</v>
      </c>
      <c r="N40">
        <f t="shared" ca="1" si="30"/>
        <v>-9.6730352617220349E-6</v>
      </c>
      <c r="O40">
        <f t="shared" ca="1" si="30"/>
        <v>-3.5500986642547389E-5</v>
      </c>
      <c r="P40">
        <f t="shared" ca="1" si="30"/>
        <v>-8.845935781321527E-5</v>
      </c>
      <c r="Q40">
        <f t="shared" ca="1" si="30"/>
        <v>-2.5163223919225845E-4</v>
      </c>
      <c r="R40">
        <f t="shared" ca="1" si="30"/>
        <v>-6.6596481169249166E-4</v>
      </c>
      <c r="S40">
        <f t="shared" ca="1" si="30"/>
        <v>-1.6608753991499792E-3</v>
      </c>
      <c r="T40">
        <f t="shared" ca="1" si="30"/>
        <v>-3.8621759487046112E-3</v>
      </c>
      <c r="U40">
        <f t="shared" ca="1" si="30"/>
        <v>-7.6750544567305299E-3</v>
      </c>
      <c r="V40">
        <f t="shared" ca="1" si="30"/>
        <v>-6.670703310539712E-3</v>
      </c>
      <c r="W40">
        <f t="shared" ca="1" si="30"/>
        <v>6.2249139275603584E-2</v>
      </c>
      <c r="X40">
        <f t="shared" ca="1" si="30"/>
        <v>0.60744388036766328</v>
      </c>
      <c r="Y40">
        <f t="shared" ca="1" si="30"/>
        <v>3.4516067920683122</v>
      </c>
      <c r="Z40">
        <f t="shared" ca="1" si="30"/>
        <v>12.753203570416355</v>
      </c>
      <c r="AA40">
        <f t="shared" ca="1" si="30"/>
        <v>29.918027596541098</v>
      </c>
      <c r="AB40">
        <f t="shared" ca="1" si="30"/>
        <v>48.345275296736816</v>
      </c>
      <c r="AC40">
        <f t="shared" ca="1" si="30"/>
        <v>62.406824447878158</v>
      </c>
      <c r="AD40">
        <f t="shared" ca="1" si="30"/>
        <v>72.095133990526648</v>
      </c>
      <c r="AE40">
        <f t="shared" ca="1" si="30"/>
        <v>79.155800850991426</v>
      </c>
      <c r="AF40">
        <f t="shared" ca="1" si="30"/>
        <v>84.856598713381885</v>
      </c>
      <c r="AG40">
        <f t="shared" ca="1" si="30"/>
        <v>89.84396287764126</v>
      </c>
      <c r="AH40">
        <f t="shared" ca="1" si="30"/>
        <v>94.409129773446153</v>
      </c>
      <c r="AI40">
        <f t="shared" ca="1" si="30"/>
        <v>98.587478203634717</v>
      </c>
    </row>
    <row r="41" spans="1:35">
      <c r="A41" s="1" t="s">
        <v>38</v>
      </c>
      <c r="B41" s="1">
        <f ca="1">SUMPRODUCT(lz,qa3_)</f>
        <v>43.157710334077635</v>
      </c>
      <c r="C41" s="23">
        <f ca="1">B6/(phi_q3/SUM(B$39:B$41))</f>
        <v>0.36046343879550874</v>
      </c>
      <c r="D41" s="21"/>
      <c r="E41" s="39">
        <f ca="1">C41/AVERAGE(C$39:C$41)</f>
        <v>0.22983307200864284</v>
      </c>
      <c r="G41" s="1">
        <f ca="1">re*phi_q1+f1_*phi_q1*$H33+f1_*re*G37</f>
        <v>1311020.3295907038</v>
      </c>
      <c r="H41" s="1">
        <f ca="1">re*phi_q3+f3_*phi_q3*$H33+f3_*re*H37</f>
        <v>479956.16152407543</v>
      </c>
      <c r="I41" s="1">
        <f ca="1">re*phi_q3+f1_*phi_q3*$H33+f3_*re*I37</f>
        <v>317407.02434689773</v>
      </c>
      <c r="J41" s="8" t="s">
        <v>67</v>
      </c>
      <c r="K41">
        <f t="shared" ref="K41:AI41" ca="1" si="31">flt1_*qa1_+lz*wa*flt3_*flt2_/za*(sa-oa/za)</f>
        <v>-1.4240111337382499E-7</v>
      </c>
      <c r="L41">
        <f t="shared" ca="1" si="31"/>
        <v>-3.7364375558084363E-5</v>
      </c>
      <c r="M41">
        <f t="shared" ca="1" si="31"/>
        <v>-2.357782117777759E-3</v>
      </c>
      <c r="N41">
        <f t="shared" ca="1" si="31"/>
        <v>-2.4247168930450036E-2</v>
      </c>
      <c r="O41">
        <f t="shared" ca="1" si="31"/>
        <v>-0.11902593312753586</v>
      </c>
      <c r="P41">
        <f t="shared" ca="1" si="31"/>
        <v>-3.870262715426253E-2</v>
      </c>
      <c r="Q41">
        <f t="shared" ca="1" si="31"/>
        <v>-0.67531227919283499</v>
      </c>
      <c r="R41">
        <f t="shared" ca="1" si="31"/>
        <v>-1.2661603361512233</v>
      </c>
      <c r="S41">
        <f t="shared" ca="1" si="31"/>
        <v>-1.3288853820639133</v>
      </c>
      <c r="T41">
        <f t="shared" ca="1" si="31"/>
        <v>-1.191107757578397</v>
      </c>
      <c r="U41">
        <f t="shared" ca="1" si="31"/>
        <v>-1.0032130003332327</v>
      </c>
      <c r="V41">
        <f t="shared" ca="1" si="31"/>
        <v>-0.80581420673242787</v>
      </c>
      <c r="W41">
        <f t="shared" ca="1" si="31"/>
        <v>-0.54350506676778176</v>
      </c>
      <c r="X41">
        <f t="shared" ca="1" si="31"/>
        <v>0.19955760642500397</v>
      </c>
      <c r="Y41">
        <f t="shared" ca="1" si="31"/>
        <v>3.2506158568680013</v>
      </c>
      <c r="Z41">
        <f t="shared" ca="1" si="31"/>
        <v>12.705791375542242</v>
      </c>
      <c r="AA41">
        <f t="shared" ca="1" si="31"/>
        <v>29.986450692710086</v>
      </c>
      <c r="AB41">
        <f t="shared" ca="1" si="31"/>
        <v>48.457093115857219</v>
      </c>
      <c r="AC41">
        <f t="shared" ca="1" si="31"/>
        <v>62.514366841975644</v>
      </c>
      <c r="AD41">
        <f t="shared" ca="1" si="31"/>
        <v>72.18243026446703</v>
      </c>
      <c r="AE41">
        <f t="shared" ca="1" si="31"/>
        <v>79.222037898312379</v>
      </c>
      <c r="AF41">
        <f t="shared" ca="1" si="31"/>
        <v>84.905399364191993</v>
      </c>
      <c r="AG41">
        <f t="shared" ca="1" si="31"/>
        <v>89.879403208243104</v>
      </c>
      <c r="AH41">
        <f t="shared" ca="1" si="31"/>
        <v>94.434656223573853</v>
      </c>
      <c r="AI41">
        <f t="shared" ca="1" si="31"/>
        <v>98.645577901776193</v>
      </c>
    </row>
    <row r="42" spans="1:35">
      <c r="A42" s="1" t="s">
        <v>96</v>
      </c>
      <c r="B42" s="1">
        <f ca="1">SUMPRODUCT(lz/SUM(lz),len,ta1_)</f>
        <v>4.632977078982714</v>
      </c>
      <c r="J42" s="8" t="s">
        <v>68</v>
      </c>
      <c r="K42">
        <f t="shared" ref="K42:AI42" ca="1" si="32">flt1_*qa1_+lz*wa*flt1_*flt3_/za*(sa-oa/za)</f>
        <v>-1.4163963436866252E-11</v>
      </c>
      <c r="L42">
        <f t="shared" ca="1" si="32"/>
        <v>-7.3589310603462635E-10</v>
      </c>
      <c r="M42">
        <f t="shared" ca="1" si="32"/>
        <v>-1.7303575807241411E-8</v>
      </c>
      <c r="N42">
        <f t="shared" ca="1" si="32"/>
        <v>-2.8319445156267677E-7</v>
      </c>
      <c r="O42">
        <f t="shared" ca="1" si="32"/>
        <v>-3.6812885745392467E-6</v>
      </c>
      <c r="P42">
        <f t="shared" ca="1" si="32"/>
        <v>-4.1141766785183501E-6</v>
      </c>
      <c r="Q42">
        <f t="shared" ca="1" si="32"/>
        <v>-2.0172636904103617E-4</v>
      </c>
      <c r="R42">
        <f t="shared" ca="1" si="32"/>
        <v>-1.0519666985173456E-3</v>
      </c>
      <c r="S42">
        <f t="shared" ca="1" si="32"/>
        <v>-3.0529484467537093E-3</v>
      </c>
      <c r="T42">
        <f t="shared" ca="1" si="32"/>
        <v>-7.4286572884273445E-3</v>
      </c>
      <c r="U42">
        <f t="shared" ca="1" si="32"/>
        <v>-1.5924686388298831E-2</v>
      </c>
      <c r="V42">
        <f t="shared" ca="1" si="32"/>
        <v>-2.4816859551156045E-2</v>
      </c>
      <c r="W42">
        <f t="shared" ca="1" si="32"/>
        <v>2.4191461956017124E-2</v>
      </c>
      <c r="X42">
        <f t="shared" ca="1" si="32"/>
        <v>0.53333350856562634</v>
      </c>
      <c r="Y42">
        <f t="shared" ca="1" si="32"/>
        <v>3.3254785473286574</v>
      </c>
      <c r="Z42">
        <f t="shared" ca="1" si="32"/>
        <v>12.555692514315128</v>
      </c>
      <c r="AA42">
        <f t="shared" ca="1" si="32"/>
        <v>29.681558480834475</v>
      </c>
      <c r="AB42">
        <f t="shared" ca="1" si="32"/>
        <v>48.120026270666422</v>
      </c>
      <c r="AC42">
        <f t="shared" ca="1" si="32"/>
        <v>62.220573430655463</v>
      </c>
      <c r="AD42">
        <f t="shared" ca="1" si="32"/>
        <v>71.951808807268264</v>
      </c>
      <c r="AE42">
        <f t="shared" ca="1" si="32"/>
        <v>79.049218293940172</v>
      </c>
      <c r="AF42">
        <f t="shared" ca="1" si="32"/>
        <v>84.778679955860056</v>
      </c>
      <c r="AG42">
        <f t="shared" ca="1" si="32"/>
        <v>89.787546304178264</v>
      </c>
      <c r="AH42">
        <f t="shared" ca="1" si="32"/>
        <v>94.368542288065257</v>
      </c>
      <c r="AI42">
        <f t="shared" ca="1" si="32"/>
        <v>98.495140200617527</v>
      </c>
    </row>
    <row r="43" spans="1:35">
      <c r="A43" s="1"/>
      <c r="B43" s="1"/>
      <c r="J43" s="8" t="s">
        <v>61</v>
      </c>
      <c r="K43">
        <f t="shared" ref="K43:AI43" ca="1" si="33">flt1_*qa1_+lz*wa*flt2_*flt3_/za*(sa-oa/za)</f>
        <v>-1.4240111337382499E-7</v>
      </c>
      <c r="L43">
        <f t="shared" ca="1" si="33"/>
        <v>-3.7364375558084363E-5</v>
      </c>
      <c r="M43">
        <f t="shared" ca="1" si="33"/>
        <v>-2.3577821177777594E-3</v>
      </c>
      <c r="N43">
        <f t="shared" ca="1" si="33"/>
        <v>-2.4247168930450032E-2</v>
      </c>
      <c r="O43">
        <f t="shared" ca="1" si="33"/>
        <v>-0.11902593312753586</v>
      </c>
      <c r="P43">
        <f t="shared" ca="1" si="33"/>
        <v>-3.870262715426253E-2</v>
      </c>
      <c r="Q43">
        <f t="shared" ca="1" si="33"/>
        <v>-0.67531227919283499</v>
      </c>
      <c r="R43">
        <f t="shared" ca="1" si="33"/>
        <v>-1.2661603361512233</v>
      </c>
      <c r="S43">
        <f t="shared" ca="1" si="33"/>
        <v>-1.3288853820639133</v>
      </c>
      <c r="T43">
        <f t="shared" ca="1" si="33"/>
        <v>-1.191107757578397</v>
      </c>
      <c r="U43">
        <f t="shared" ca="1" si="33"/>
        <v>-1.0032130003332327</v>
      </c>
      <c r="V43">
        <f t="shared" ca="1" si="33"/>
        <v>-0.80581420673242787</v>
      </c>
      <c r="W43">
        <f t="shared" ca="1" si="33"/>
        <v>-0.54350506676778176</v>
      </c>
      <c r="X43">
        <f t="shared" ca="1" si="33"/>
        <v>0.19955760642500397</v>
      </c>
      <c r="Y43">
        <f t="shared" ca="1" si="33"/>
        <v>3.2506158568680013</v>
      </c>
      <c r="Z43">
        <f t="shared" ca="1" si="33"/>
        <v>12.705791375542242</v>
      </c>
      <c r="AA43">
        <f t="shared" ca="1" si="33"/>
        <v>29.986450692710086</v>
      </c>
      <c r="AB43">
        <f t="shared" ca="1" si="33"/>
        <v>48.457093115857219</v>
      </c>
      <c r="AC43">
        <f t="shared" ca="1" si="33"/>
        <v>62.514366841975644</v>
      </c>
      <c r="AD43">
        <f t="shared" ca="1" si="33"/>
        <v>72.18243026446703</v>
      </c>
      <c r="AE43">
        <f t="shared" ca="1" si="33"/>
        <v>79.222037898312379</v>
      </c>
      <c r="AF43">
        <f t="shared" ca="1" si="33"/>
        <v>84.905399364191993</v>
      </c>
      <c r="AG43">
        <f t="shared" ca="1" si="33"/>
        <v>89.879403208243104</v>
      </c>
      <c r="AH43">
        <f t="shared" ca="1" si="33"/>
        <v>94.434656223573853</v>
      </c>
      <c r="AI43">
        <f t="shared" ca="1" si="33"/>
        <v>98.645577901776193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0.39999999999932806</v>
      </c>
      <c r="G46" s="32" t="s">
        <v>94</v>
      </c>
      <c r="H46" s="32"/>
      <c r="I46" s="32"/>
      <c r="J46" s="8" t="s">
        <v>75</v>
      </c>
      <c r="K46">
        <f t="shared" ref="K46:AI46" ca="1" si="34">lz*qa1_</f>
        <v>4.5307231647173162E-8</v>
      </c>
      <c r="L46">
        <f t="shared" ca="1" si="34"/>
        <v>6.5662752947832724E-7</v>
      </c>
      <c r="M46">
        <f t="shared" ca="1" si="34"/>
        <v>4.3318155169371045E-6</v>
      </c>
      <c r="N46">
        <f t="shared" ca="1" si="34"/>
        <v>2.0058885113525841E-5</v>
      </c>
      <c r="O46">
        <f t="shared" ca="1" si="34"/>
        <v>7.6253034459006588E-5</v>
      </c>
      <c r="P46">
        <f t="shared" ca="1" si="34"/>
        <v>2.576380589962844E-4</v>
      </c>
      <c r="Q46">
        <f t="shared" ca="1" si="34"/>
        <v>8.0053338201293927E-4</v>
      </c>
      <c r="R46">
        <f t="shared" ca="1" si="34"/>
        <v>2.3207827730863718E-3</v>
      </c>
      <c r="S46">
        <f t="shared" ca="1" si="34"/>
        <v>6.393421806124751E-3</v>
      </c>
      <c r="T46">
        <f t="shared" ca="1" si="34"/>
        <v>1.6969718087179727E-2</v>
      </c>
      <c r="U46">
        <f t="shared" ca="1" si="34"/>
        <v>4.367020638144168E-2</v>
      </c>
      <c r="V46">
        <f t="shared" ca="1" si="34"/>
        <v>0.10893599284021292</v>
      </c>
      <c r="W46">
        <f t="shared" ca="1" si="34"/>
        <v>0.26076709862634773</v>
      </c>
      <c r="X46">
        <f t="shared" ca="1" si="34"/>
        <v>0.58184489213470347</v>
      </c>
      <c r="Y46">
        <f t="shared" ca="1" si="34"/>
        <v>1.1394284720136134</v>
      </c>
      <c r="Z46">
        <f t="shared" ca="1" si="34"/>
        <v>1.7980223813822431</v>
      </c>
      <c r="AA46">
        <f t="shared" ca="1" si="34"/>
        <v>2.1700775962603736</v>
      </c>
      <c r="AB46">
        <f t="shared" ca="1" si="34"/>
        <v>2.0789233086741605</v>
      </c>
      <c r="AC46">
        <f t="shared" ca="1" si="34"/>
        <v>1.7241628472385619</v>
      </c>
      <c r="AD46">
        <f t="shared" ca="1" si="34"/>
        <v>1.3285691406055369</v>
      </c>
      <c r="AE46">
        <f t="shared" ca="1" si="34"/>
        <v>0.98852606476753668</v>
      </c>
      <c r="AF46">
        <f t="shared" ca="1" si="34"/>
        <v>0.72283637195068662</v>
      </c>
      <c r="AG46">
        <f t="shared" ca="1" si="34"/>
        <v>0.5234105390920728</v>
      </c>
      <c r="AH46">
        <f t="shared" ca="1" si="34"/>
        <v>0.37656733030146011</v>
      </c>
      <c r="AI46">
        <f t="shared" ca="1" si="34"/>
        <v>0.85671555630088325</v>
      </c>
    </row>
    <row r="47" spans="1:35" ht="19" thickTop="1">
      <c r="A47" s="1" t="s">
        <v>41</v>
      </c>
      <c r="B47" s="11">
        <f ca="1">MAX(0,Ro*(reck-1/spr)/(reck-1))</f>
        <v>8771.7289435856383</v>
      </c>
      <c r="F47" t="s">
        <v>84</v>
      </c>
      <c r="G47" s="31">
        <f ca="1">G39/G53</f>
        <v>0.99999999999999978</v>
      </c>
      <c r="H47" s="31">
        <f ca="1">H53/H39</f>
        <v>0.49428183373945295</v>
      </c>
      <c r="I47" s="31">
        <f ca="1">I53/I39</f>
        <v>0.49800808183967193</v>
      </c>
      <c r="J47" s="8" t="s">
        <v>76</v>
      </c>
      <c r="K47">
        <f t="shared" ref="K47:AI47" ca="1" si="35">lz*qa2_</f>
        <v>4.5449706309702998E-4</v>
      </c>
      <c r="L47">
        <f t="shared" ca="1" si="35"/>
        <v>3.3278320153281318E-2</v>
      </c>
      <c r="M47">
        <f t="shared" ca="1" si="35"/>
        <v>0.58934342634462944</v>
      </c>
      <c r="N47">
        <f t="shared" ca="1" si="35"/>
        <v>1.7151784582322325</v>
      </c>
      <c r="O47">
        <f t="shared" ca="1" si="35"/>
        <v>2.4625452898097557</v>
      </c>
      <c r="P47">
        <f t="shared" ca="1" si="35"/>
        <v>2.3972770705913926</v>
      </c>
      <c r="Q47">
        <f t="shared" ca="1" si="35"/>
        <v>2.6742552570350182</v>
      </c>
      <c r="R47">
        <f t="shared" ca="1" si="35"/>
        <v>2.7832980895904864</v>
      </c>
      <c r="S47">
        <f t="shared" ca="1" si="35"/>
        <v>2.7539655555505376</v>
      </c>
      <c r="T47">
        <f t="shared" ca="1" si="35"/>
        <v>2.6285761031574486</v>
      </c>
      <c r="U47">
        <f t="shared" ca="1" si="35"/>
        <v>2.4399344866962336</v>
      </c>
      <c r="V47">
        <f t="shared" ca="1" si="35"/>
        <v>2.2123829869563822</v>
      </c>
      <c r="W47">
        <f t="shared" ca="1" si="35"/>
        <v>1.9621717661031561</v>
      </c>
      <c r="X47">
        <f t="shared" ca="1" si="35"/>
        <v>1.6972117638370403</v>
      </c>
      <c r="Y47">
        <f t="shared" ca="1" si="35"/>
        <v>1.4191045988174578</v>
      </c>
      <c r="Z47">
        <f t="shared" ca="1" si="35"/>
        <v>1.2329600856159915</v>
      </c>
      <c r="AA47">
        <f t="shared" ca="1" si="35"/>
        <v>1.0130001802586486</v>
      </c>
      <c r="AB47">
        <f t="shared" ca="1" si="35"/>
        <v>0.7924320698268742</v>
      </c>
      <c r="AC47">
        <f t="shared" ca="1" si="35"/>
        <v>0.59946223587200398</v>
      </c>
      <c r="AD47">
        <f t="shared" ca="1" si="35"/>
        <v>0.44451957138729614</v>
      </c>
      <c r="AE47">
        <f t="shared" ca="1" si="35"/>
        <v>0.32568371791597023</v>
      </c>
      <c r="AF47">
        <f t="shared" ca="1" si="35"/>
        <v>0.2367019592380237</v>
      </c>
      <c r="AG47">
        <f t="shared" ca="1" si="35"/>
        <v>0.17098870105837796</v>
      </c>
      <c r="AH47">
        <f t="shared" ca="1" si="35"/>
        <v>0.12290337846401886</v>
      </c>
      <c r="AI47">
        <f t="shared" ca="1" si="35"/>
        <v>0.27951317596284964</v>
      </c>
    </row>
    <row r="48" spans="1:35">
      <c r="A48" s="1" t="s">
        <v>43</v>
      </c>
      <c r="B48" s="1">
        <f ca="1">f1_*re*phi_q1</f>
        <v>26732.391053328884</v>
      </c>
      <c r="C48" s="20">
        <f ca="1">ye_1/SUM(ye_1,ye_2,ye_3)</f>
        <v>0.61923578721232941</v>
      </c>
      <c r="F48" t="s">
        <v>85</v>
      </c>
      <c r="G48" s="31">
        <f ca="1">G40/G54</f>
        <v>2.0231372705619655</v>
      </c>
      <c r="H48" s="31">
        <f t="shared" ref="H48:I49" ca="1" si="36">H40/H54</f>
        <v>1.0000000000000002</v>
      </c>
      <c r="I48" s="31">
        <f ca="1">I54/I40</f>
        <v>0.65528620828445305</v>
      </c>
      <c r="J48" s="8" t="s">
        <v>77</v>
      </c>
      <c r="K48">
        <f t="shared" ref="K48:AI48" ca="1" si="37">lz*qa3_</f>
        <v>4.186847714915512E-5</v>
      </c>
      <c r="L48">
        <f t="shared" ca="1" si="37"/>
        <v>8.5018709034708016E-4</v>
      </c>
      <c r="M48">
        <f t="shared" ca="1" si="37"/>
        <v>7.8394555212778824E-3</v>
      </c>
      <c r="N48">
        <f t="shared" ca="1" si="37"/>
        <v>5.0279188051302444E-2</v>
      </c>
      <c r="O48">
        <f t="shared" ca="1" si="37"/>
        <v>0.25562594050442911</v>
      </c>
      <c r="P48">
        <f t="shared" ca="1" si="37"/>
        <v>0.1126639892625589</v>
      </c>
      <c r="Q48">
        <f t="shared" ca="1" si="37"/>
        <v>2.1447729560958804</v>
      </c>
      <c r="R48">
        <f t="shared" ca="1" si="37"/>
        <v>4.3873995717743064</v>
      </c>
      <c r="S48">
        <f t="shared" ca="1" si="37"/>
        <v>5.0183492014427973</v>
      </c>
      <c r="T48">
        <f t="shared" ca="1" si="37"/>
        <v>4.901335889926191</v>
      </c>
      <c r="U48">
        <f t="shared" ca="1" si="37"/>
        <v>4.5058870596273204</v>
      </c>
      <c r="V48">
        <f t="shared" ca="1" si="37"/>
        <v>4.0125719643093527</v>
      </c>
      <c r="W48">
        <f t="shared" ca="1" si="37"/>
        <v>3.4876983600625291</v>
      </c>
      <c r="X48">
        <f t="shared" ca="1" si="37"/>
        <v>2.9549217707544102</v>
      </c>
      <c r="Y48">
        <f t="shared" ca="1" si="37"/>
        <v>2.4197717844025934</v>
      </c>
      <c r="Z48">
        <f t="shared" ca="1" si="37"/>
        <v>2.1023693594921204</v>
      </c>
      <c r="AA48">
        <f t="shared" ca="1" si="37"/>
        <v>1.7273069623107637</v>
      </c>
      <c r="AB48">
        <f t="shared" ca="1" si="37"/>
        <v>1.3512074904278906</v>
      </c>
      <c r="AC48">
        <f t="shared" ca="1" si="37"/>
        <v>1.0221669392000581</v>
      </c>
      <c r="AD48">
        <f t="shared" ca="1" si="37"/>
        <v>0.75796802952653564</v>
      </c>
      <c r="AE48">
        <f t="shared" ca="1" si="37"/>
        <v>0.55533628170122673</v>
      </c>
      <c r="AF48">
        <f t="shared" ca="1" si="37"/>
        <v>0.40360994020755642</v>
      </c>
      <c r="AG48">
        <f t="shared" ca="1" si="37"/>
        <v>0.29155964586225308</v>
      </c>
      <c r="AH48">
        <f t="shared" ca="1" si="37"/>
        <v>0.20956744672859806</v>
      </c>
      <c r="AI48">
        <f t="shared" ca="1" si="37"/>
        <v>0.47660905131818393</v>
      </c>
    </row>
    <row r="49" spans="1:47">
      <c r="A49" s="1" t="s">
        <v>44</v>
      </c>
      <c r="B49" s="1">
        <f ca="1">f2_*re*phi_q2</f>
        <v>9145.2026104007491</v>
      </c>
      <c r="C49" s="20">
        <f ca="1">ye_2/SUM(ye_1,ye_2,ye_3)</f>
        <v>0.21184175880004422</v>
      </c>
      <c r="F49" t="s">
        <v>86</v>
      </c>
      <c r="G49" s="31">
        <f ca="1">G41/G55</f>
        <v>2.0079995415053098</v>
      </c>
      <c r="H49" s="31">
        <f t="shared" ca="1" si="36"/>
        <v>1.5260507353237478</v>
      </c>
      <c r="I49" s="31">
        <f t="shared" ca="1" si="36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7292.3774609570501</v>
      </c>
      <c r="C50" s="20">
        <f ca="1">ye_3/SUM(ye_1,ye_2,ye_3)</f>
        <v>0.16892245398762651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43169.971124686679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1158.877551003759</v>
      </c>
      <c r="H52" s="57">
        <f ca="1">H40^0.5</f>
        <v>558.24434462027057</v>
      </c>
      <c r="I52" s="11">
        <f ca="1">I41^0.5</f>
        <v>563.38887488740647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3.0475623705720012</v>
      </c>
      <c r="C53">
        <f ca="1">AVERAGE(B53:B55)/B53</f>
        <v>0.53829791529641813</v>
      </c>
      <c r="G53">
        <f ca="1">G$52*$J53</f>
        <v>1342997.1782204702</v>
      </c>
      <c r="H53">
        <f t="shared" ref="H53:I53" ca="1" si="38">H$52*$J53</f>
        <v>646936.83895523776</v>
      </c>
      <c r="I53">
        <f t="shared" ca="1" si="38"/>
        <v>652898.71959228092</v>
      </c>
      <c r="J53">
        <f t="array" aca="1" ref="J53:J55" ca="1">TRANSPOSE(G52:I52)</f>
        <v>1158.877551003759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1.0425769730479661</v>
      </c>
      <c r="C54">
        <f ca="1">AVERAGE(B53:B55)/B54</f>
        <v>1.5735015382305433</v>
      </c>
      <c r="G54">
        <f t="shared" ref="G54:I55" ca="1" si="39">G$52*$J54</f>
        <v>646936.83895523765</v>
      </c>
      <c r="H54">
        <f t="shared" ca="1" si="39"/>
        <v>311636.74830051541</v>
      </c>
      <c r="I54">
        <f ca="1">I$52*$J54</f>
        <v>314508.65322787187</v>
      </c>
      <c r="J54">
        <f ca="1"/>
        <v>558.24434462027057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0.83135006882418894</v>
      </c>
      <c r="C55">
        <f ca="1">AVERAGE(B53:B55)/B55</f>
        <v>1.9732920370535809</v>
      </c>
      <c r="G55">
        <f t="shared" ca="1" si="39"/>
        <v>652898.7195922808</v>
      </c>
      <c r="H55">
        <f t="shared" ca="1" si="39"/>
        <v>314508.65322787187</v>
      </c>
      <c r="I55">
        <f t="shared" ca="1" si="39"/>
        <v>317407.02434689773</v>
      </c>
      <c r="J55">
        <f ca="1"/>
        <v>563.38887488740647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3.983879306278984E-2</v>
      </c>
      <c r="C56">
        <f ca="1">AVERAGE(B56:B58)/B56</f>
        <v>1.2806406936508459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8.5323819722448097E-2</v>
      </c>
      <c r="C57">
        <f ca="1">AVERAGE(B56:B58)/B57</f>
        <v>0.59794767449588182</v>
      </c>
      <c r="G57">
        <f t="array" aca="1" ref="G57:I59" ca="1">MMULT($G$52:$I$52,TRANSPOSE($G$52:$I$52))</f>
        <v>1972040.9508678829</v>
      </c>
      <c r="H57">
        <f ca="1"/>
        <v>1972040.9508678829</v>
      </c>
      <c r="I57">
        <f ca="1"/>
        <v>1972040.9508678829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2.7894925961193178E-2</v>
      </c>
      <c r="C58">
        <f ca="1">AVERAGE(B56:B58)/B58</f>
        <v>1.8289770567278252</v>
      </c>
      <c r="G58">
        <f ca="1"/>
        <v>1972040.9508678829</v>
      </c>
      <c r="H58">
        <f ca="1"/>
        <v>1972040.9508678829</v>
      </c>
      <c r="I58">
        <f ca="1"/>
        <v>1972040.9508678829</v>
      </c>
      <c r="AL58" s="31"/>
      <c r="AM58" s="31"/>
      <c r="AN58" s="31"/>
      <c r="AO58" s="31"/>
      <c r="AP58" s="31"/>
    </row>
    <row r="59" spans="1:47">
      <c r="G59">
        <f ca="1"/>
        <v>1972040.9508678829</v>
      </c>
      <c r="H59">
        <f ca="1"/>
        <v>1972040.9508678829</v>
      </c>
      <c r="I59">
        <f ca="1"/>
        <v>1972040.9508678829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76.497356879480364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12.219061177047509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29.802913618797387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(2)'!K46:AI46</xm:f>
              <xm:sqref>J46</xm:sqref>
            </x14:sparkline>
            <x14:sparkline>
              <xm:f>'No Size Limit (2)'!K47:AI47</xm:f>
              <xm:sqref>J47</xm:sqref>
            </x14:sparkline>
            <x14:sparkline>
              <xm:f>'No Size Limit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(2)'!K18:AI18</xm:f>
              <xm:sqref>J18</xm:sqref>
            </x14:sparkline>
            <x14:sparkline>
              <xm:f>'No Size Limit (2)'!K19:AI19</xm:f>
              <xm:sqref>J19</xm:sqref>
            </x14:sparkline>
            <x14:sparkline>
              <xm:f>'No Size Limit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0.60367371601208453</v>
      </c>
      <c r="E4" s="47">
        <v>24977</v>
      </c>
      <c r="F4" s="47">
        <f ca="1">ye_1</f>
        <v>26258.090143016718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0.22513595166163142</v>
      </c>
      <c r="E5" s="47">
        <v>9315</v>
      </c>
      <c r="F5" s="47">
        <f ca="1">ye_2</f>
        <v>9792.7737391280261</v>
      </c>
      <c r="J5" t="s">
        <v>3</v>
      </c>
      <c r="K5" s="9">
        <f>0.00000692*len^3.24</f>
        <v>7.0158553546955618E-2</v>
      </c>
      <c r="L5" s="9">
        <f>0.00000692*len^3.24</f>
        <v>0.46238682351281868</v>
      </c>
      <c r="M5" s="9">
        <f>0.00000692*len^3.24</f>
        <v>1.4016693105158124</v>
      </c>
      <c r="N5" s="9">
        <f>0.00000692*len^3.24</f>
        <v>3.0263235000724551</v>
      </c>
      <c r="O5" s="9">
        <f>0.00000692*len^3.24</f>
        <v>5.3989138613447478</v>
      </c>
      <c r="P5" s="9">
        <f>0.00000692*len^3.24</f>
        <v>8.5235871881960321</v>
      </c>
      <c r="Q5" s="9">
        <f>0.00000692*len^3.24</f>
        <v>12.362641181768007</v>
      </c>
      <c r="R5" s="9">
        <f>0.00000692*len^3.24</f>
        <v>16.850499568231225</v>
      </c>
      <c r="S5" s="9">
        <f>0.00000692*len^3.24</f>
        <v>21.904807515591521</v>
      </c>
      <c r="T5" s="9">
        <f>0.00000692*len^3.24</f>
        <v>27.434883404502997</v>
      </c>
      <c r="U5" s="9">
        <f>0.00000692*len^3.24</f>
        <v>33.347926709886231</v>
      </c>
      <c r="V5" s="9">
        <f>0.00000692*len^3.24</f>
        <v>39.553403570181338</v>
      </c>
      <c r="W5" s="9">
        <f>0.00000692*len^3.24</f>
        <v>45.965996898027832</v>
      </c>
      <c r="X5" s="9">
        <f>0.00000692*len^3.24</f>
        <v>52.507453509450855</v>
      </c>
      <c r="Y5" s="9">
        <f>0.00000692*len^3.24</f>
        <v>59.107603219100518</v>
      </c>
      <c r="Z5" s="9">
        <f>0.00000692*len^3.24</f>
        <v>65.704771366005971</v>
      </c>
      <c r="AA5" s="9">
        <f>0.00000692*len^3.24</f>
        <v>72.245759564237062</v>
      </c>
      <c r="AB5" s="9">
        <f>0.00000692*len^3.24</f>
        <v>78.685530247837576</v>
      </c>
      <c r="AC5" s="9">
        <f>0.00000692*len^3.24</f>
        <v>84.986698433372865</v>
      </c>
      <c r="AD5" s="9">
        <f>0.00000692*len^3.24</f>
        <v>91.118908268394236</v>
      </c>
      <c r="AE5" s="9">
        <f>0.00000692*len^3.24</f>
        <v>97.058151452529373</v>
      </c>
      <c r="AF5" s="9">
        <f>0.00000692*len^3.24</f>
        <v>102.78606860782043</v>
      </c>
      <c r="AG5" s="9">
        <f>0.00000692*len^3.24</f>
        <v>108.28926231630099</v>
      </c>
      <c r="AH5" s="9">
        <f>0.00000692*len^3.24</f>
        <v>113.55864112278009</v>
      </c>
      <c r="AI5" s="9">
        <f>0.00000692*len^3.24</f>
        <v>118.58880671719038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</v>
      </c>
      <c r="E6" s="47">
        <v>7083</v>
      </c>
      <c r="F6" s="47">
        <f ca="1">ye_3</f>
        <v>7446.2926885930028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0.39999999999413338</v>
      </c>
      <c r="J7" t="s">
        <v>7</v>
      </c>
      <c r="K7" s="1">
        <f>1</f>
        <v>1</v>
      </c>
      <c r="L7" s="1">
        <f ca="1">K7*EXP(-K8)</f>
        <v>0.86054070371598312</v>
      </c>
      <c r="M7" s="1">
        <f t="shared" ref="M7:AH7" ca="1" si="3">L7*EXP(-L8)</f>
        <v>0.73881917600015345</v>
      </c>
      <c r="N7" s="1">
        <f t="shared" ca="1" si="3"/>
        <v>0.6250601281922068</v>
      </c>
      <c r="O7" s="1">
        <f t="shared" ca="1" si="3"/>
        <v>0.52331825109274321</v>
      </c>
      <c r="P7" s="1">
        <f t="shared" ca="1" si="3"/>
        <v>0.43850405424825056</v>
      </c>
      <c r="Q7" s="1">
        <f t="shared" ca="1" si="3"/>
        <v>0.36802024007244094</v>
      </c>
      <c r="R7" s="1">
        <f t="shared" ca="1" si="3"/>
        <v>0.30651284552260338</v>
      </c>
      <c r="S7" s="1">
        <f t="shared" ca="1" si="3"/>
        <v>0.25363571885034664</v>
      </c>
      <c r="T7" s="1">
        <f t="shared" ca="1" si="3"/>
        <v>0.20996901606448859</v>
      </c>
      <c r="U7" s="1">
        <f t="shared" ca="1" si="3"/>
        <v>0.17423238095211016</v>
      </c>
      <c r="V7" s="1">
        <f t="shared" ca="1" si="3"/>
        <v>0.14488346580028785</v>
      </c>
      <c r="W7" s="1">
        <f t="shared" ca="1" si="3"/>
        <v>0.12053039007660453</v>
      </c>
      <c r="X7" s="1">
        <f t="shared" ca="1" si="3"/>
        <v>9.9921213257625818E-2</v>
      </c>
      <c r="Y7" s="1">
        <f t="shared" ca="1" si="3"/>
        <v>8.1865096790999806E-2</v>
      </c>
      <c r="Z7" s="1">
        <f t="shared" ca="1" si="3"/>
        <v>6.5340773658380841E-2</v>
      </c>
      <c r="AA7" s="1">
        <f t="shared" ca="1" si="3"/>
        <v>4.9938595588366087E-2</v>
      </c>
      <c r="AB7" s="1">
        <f t="shared" ca="1" si="3"/>
        <v>3.647828195635603E-2</v>
      </c>
      <c r="AC7" s="1">
        <f t="shared" ca="1" si="3"/>
        <v>2.5810891937179677E-2</v>
      </c>
      <c r="AD7" s="1">
        <f t="shared" ca="1" si="3"/>
        <v>1.7960133011000814E-2</v>
      </c>
      <c r="AE7" s="1">
        <f t="shared" ca="1" si="3"/>
        <v>1.2404536079761866E-2</v>
      </c>
      <c r="AF7" s="1">
        <f t="shared" ca="1" si="3"/>
        <v>8.5411520063977311E-3</v>
      </c>
      <c r="AG7" s="1">
        <f t="shared" ca="1" si="3"/>
        <v>5.8738022554829178E-3</v>
      </c>
      <c r="AH7" s="1">
        <f t="shared" ca="1" si="3"/>
        <v>4.0374989188372776E-3</v>
      </c>
      <c r="AI7" s="1">
        <f ca="1">AH7*EXP(-AH8)/(1-EXP(-AI8))</f>
        <v>8.8705275184272521E-3</v>
      </c>
    </row>
    <row r="8" spans="1:35">
      <c r="A8" s="5"/>
      <c r="B8" s="26"/>
      <c r="C8" s="26"/>
      <c r="E8" t="s">
        <v>111</v>
      </c>
      <c r="F8">
        <f ca="1">SUMXMY2(E4:E6,F4:F6)</f>
        <v>2001441.2779201022</v>
      </c>
      <c r="J8" t="s">
        <v>11</v>
      </c>
      <c r="K8" s="1">
        <f ca="1">M+f1_*flt1_ +f2_*flt2_ +f3_*flt3_</f>
        <v>0.15019436204835618</v>
      </c>
      <c r="L8" s="1">
        <f t="shared" ref="L8:AI8" ca="1" si="4">M+f1_*flt1_ +f2_*flt2_ +f3_*flt3_</f>
        <v>0.15250771334164753</v>
      </c>
      <c r="M8" s="1">
        <f t="shared" ca="1" si="4"/>
        <v>0.16720535337561562</v>
      </c>
      <c r="N8" s="1">
        <f t="shared" ca="1" si="4"/>
        <v>0.17765806052557209</v>
      </c>
      <c r="O8" s="1">
        <f t="shared" ca="1" si="4"/>
        <v>0.17682073220137959</v>
      </c>
      <c r="P8" s="1">
        <f t="shared" ca="1" si="4"/>
        <v>0.17523112063624002</v>
      </c>
      <c r="Q8" s="1">
        <f t="shared" ca="1" si="4"/>
        <v>0.18287827200420279</v>
      </c>
      <c r="R8" s="1">
        <f t="shared" ca="1" si="4"/>
        <v>0.18936060500240592</v>
      </c>
      <c r="S8" s="1">
        <f t="shared" ca="1" si="4"/>
        <v>0.18893908256477585</v>
      </c>
      <c r="T8" s="1">
        <f t="shared" ca="1" si="4"/>
        <v>0.18657004637136707</v>
      </c>
      <c r="U8" s="1">
        <f t="shared" ca="1" si="4"/>
        <v>0.18446019575318109</v>
      </c>
      <c r="V8" s="1">
        <f t="shared" ca="1" si="4"/>
        <v>0.18402781421786221</v>
      </c>
      <c r="W8" s="1">
        <f t="shared" ca="1" si="4"/>
        <v>0.18751991290583594</v>
      </c>
      <c r="X8" s="1">
        <f t="shared" ca="1" si="4"/>
        <v>0.19930927661838249</v>
      </c>
      <c r="Y8" s="1">
        <f t="shared" ca="1" si="4"/>
        <v>0.22545648481079064</v>
      </c>
      <c r="Z8" s="1">
        <f t="shared" ca="1" si="4"/>
        <v>0.26882208412737851</v>
      </c>
      <c r="AA8" s="1">
        <f t="shared" ca="1" si="4"/>
        <v>0.31407709387466709</v>
      </c>
      <c r="AB8" s="1">
        <f t="shared" ca="1" si="4"/>
        <v>0.34592049765504873</v>
      </c>
      <c r="AC8" s="1">
        <f t="shared" ca="1" si="4"/>
        <v>0.36264210214306936</v>
      </c>
      <c r="AD8" s="1">
        <f t="shared" ca="1" si="4"/>
        <v>0.37009225020256598</v>
      </c>
      <c r="AE8" s="1">
        <f t="shared" ca="1" si="4"/>
        <v>0.37316632453614351</v>
      </c>
      <c r="AF8" s="1">
        <f t="shared" ca="1" si="4"/>
        <v>0.3743937262271898</v>
      </c>
      <c r="AG8" s="1">
        <f t="shared" ca="1" si="4"/>
        <v>0.37487674706996127</v>
      </c>
      <c r="AH8" s="1">
        <f t="shared" ca="1" si="4"/>
        <v>0.37506514630784582</v>
      </c>
      <c r="AI8" s="1">
        <f t="shared" ca="1" si="4"/>
        <v>0.3751377730264065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0.86054070371598312</v>
      </c>
      <c r="L10" s="1">
        <f t="shared" ca="1" si="5"/>
        <v>0.85855227162386127</v>
      </c>
      <c r="M10" s="1">
        <f t="shared" ca="1" si="5"/>
        <v>0.8460258592314569</v>
      </c>
      <c r="N10" s="1">
        <f t="shared" ca="1" si="5"/>
        <v>0.83722865607550345</v>
      </c>
      <c r="O10" s="1">
        <f t="shared" ca="1" si="5"/>
        <v>0.83792998492333925</v>
      </c>
      <c r="P10" s="1">
        <f t="shared" ca="1" si="5"/>
        <v>0.83926302734727609</v>
      </c>
      <c r="Q10" s="1">
        <f t="shared" ca="1" si="5"/>
        <v>0.8328695331057594</v>
      </c>
      <c r="R10" s="1">
        <f t="shared" ca="1" si="5"/>
        <v>0.82748805655403634</v>
      </c>
      <c r="S10" s="1">
        <f t="shared" ca="1" si="5"/>
        <v>0.82783693486159637</v>
      </c>
      <c r="T10" s="1">
        <f t="shared" ca="1" si="5"/>
        <v>0.82980043540613391</v>
      </c>
      <c r="U10" s="1">
        <f t="shared" ca="1" si="5"/>
        <v>0.8315530385830564</v>
      </c>
      <c r="V10" s="1">
        <f t="shared" ca="1" si="5"/>
        <v>0.8319126645047793</v>
      </c>
      <c r="W10" s="1">
        <f t="shared" ca="1" si="5"/>
        <v>0.82901260996599857</v>
      </c>
      <c r="X10" s="1">
        <f t="shared" ca="1" si="5"/>
        <v>0.81929646490508357</v>
      </c>
      <c r="Y10" s="1">
        <f t="shared" ca="1" si="5"/>
        <v>0.7981517914184445</v>
      </c>
      <c r="Z10" s="1">
        <f t="shared" ca="1" si="5"/>
        <v>0.76427922095717005</v>
      </c>
      <c r="AA10" s="1">
        <f t="shared" ca="1" si="5"/>
        <v>0.73046271178787758</v>
      </c>
      <c r="AB10" s="1">
        <f t="shared" ca="1" si="5"/>
        <v>0.70756873824432798</v>
      </c>
      <c r="AC10" s="1">
        <f t="shared" ca="1" si="5"/>
        <v>0.69583542694740741</v>
      </c>
      <c r="AD10" s="1">
        <f t="shared" ca="1" si="5"/>
        <v>0.69067061319445278</v>
      </c>
      <c r="AE10" s="1">
        <f t="shared" ca="1" si="5"/>
        <v>0.68855070044358313</v>
      </c>
      <c r="AF10" s="1">
        <f t="shared" ca="1" si="5"/>
        <v>0.68770609059330157</v>
      </c>
      <c r="AG10" s="1">
        <f t="shared" ca="1" si="5"/>
        <v>0.6873739944289855</v>
      </c>
      <c r="AH10" s="1">
        <f t="shared" ca="1" si="5"/>
        <v>0.68724450589044739</v>
      </c>
      <c r="AI10" s="1">
        <f t="shared" ca="1" si="5"/>
        <v>0.68719459538957561</v>
      </c>
    </row>
    <row r="11" spans="1:35">
      <c r="A11" s="5">
        <v>1</v>
      </c>
      <c r="B11" s="25">
        <f>'Status Quo'!B11</f>
        <v>0.26028638242243257</v>
      </c>
      <c r="C11" s="18">
        <f ca="1">mpr1_/SUM(mpr1_,mpr2_,mpr3_)</f>
        <v>0.26025875025110168</v>
      </c>
      <c r="J11" t="s">
        <v>56</v>
      </c>
      <c r="K11" s="1">
        <f ca="1">1-sa</f>
        <v>0.13945929628401688</v>
      </c>
      <c r="L11" s="1">
        <f t="shared" ref="L11:AI11" ca="1" si="6">1-sa</f>
        <v>0.14144772837613873</v>
      </c>
      <c r="M11" s="1">
        <f t="shared" ca="1" si="6"/>
        <v>0.1539741407685431</v>
      </c>
      <c r="N11" s="1">
        <f t="shared" ca="1" si="6"/>
        <v>0.16277134392449655</v>
      </c>
      <c r="O11" s="1">
        <f t="shared" ca="1" si="6"/>
        <v>0.16207001507666075</v>
      </c>
      <c r="P11" s="1">
        <f t="shared" ca="1" si="6"/>
        <v>0.16073697265272391</v>
      </c>
      <c r="Q11" s="1">
        <f t="shared" ca="1" si="6"/>
        <v>0.1671304668942406</v>
      </c>
      <c r="R11" s="1">
        <f t="shared" ca="1" si="6"/>
        <v>0.17251194344596366</v>
      </c>
      <c r="S11" s="1">
        <f t="shared" ca="1" si="6"/>
        <v>0.17216306513840363</v>
      </c>
      <c r="T11" s="1">
        <f t="shared" ca="1" si="6"/>
        <v>0.17019956459386609</v>
      </c>
      <c r="U11" s="1">
        <f t="shared" ca="1" si="6"/>
        <v>0.1684469614169436</v>
      </c>
      <c r="V11" s="1">
        <f t="shared" ca="1" si="6"/>
        <v>0.1680873354952207</v>
      </c>
      <c r="W11" s="1">
        <f t="shared" ca="1" si="6"/>
        <v>0.17098739003400143</v>
      </c>
      <c r="X11" s="1">
        <f t="shared" ca="1" si="6"/>
        <v>0.18070353509491643</v>
      </c>
      <c r="Y11" s="1">
        <f t="shared" ca="1" si="6"/>
        <v>0.2018482085815555</v>
      </c>
      <c r="Z11" s="1">
        <f t="shared" ca="1" si="6"/>
        <v>0.23572077904282995</v>
      </c>
      <c r="AA11" s="1">
        <f t="shared" ca="1" si="6"/>
        <v>0.26953728821212242</v>
      </c>
      <c r="AB11" s="1">
        <f t="shared" ca="1" si="6"/>
        <v>0.29243126175567202</v>
      </c>
      <c r="AC11" s="1">
        <f t="shared" ca="1" si="6"/>
        <v>0.30416457305259259</v>
      </c>
      <c r="AD11" s="1">
        <f t="shared" ca="1" si="6"/>
        <v>0.30932938680554722</v>
      </c>
      <c r="AE11" s="1">
        <f t="shared" ca="1" si="6"/>
        <v>0.31144929955641687</v>
      </c>
      <c r="AF11" s="1">
        <f t="shared" ca="1" si="6"/>
        <v>0.31229390940669843</v>
      </c>
      <c r="AG11" s="1">
        <f t="shared" ca="1" si="6"/>
        <v>0.3126260055710145</v>
      </c>
      <c r="AH11" s="1">
        <f t="shared" ca="1" si="6"/>
        <v>0.31275549410955261</v>
      </c>
      <c r="AI11" s="1">
        <f t="shared" ca="1" si="6"/>
        <v>0.31280540461042439</v>
      </c>
    </row>
    <row r="12" spans="1:35">
      <c r="A12" s="5">
        <v>2</v>
      </c>
      <c r="B12" s="25">
        <f>'Status Quo'!B12</f>
        <v>0.55746237931999676</v>
      </c>
      <c r="C12" s="18">
        <f ca="1">mpr2_/SUM(mpr1_,mpr2_,mpr3_)</f>
        <v>0.55750961220304396</v>
      </c>
      <c r="J12" t="s">
        <v>100</v>
      </c>
      <c r="K12">
        <f>1/(1+EXP(($E18-len)/2.5))</f>
        <v>5.6126934388498569E-12</v>
      </c>
      <c r="L12">
        <f t="shared" ref="L12:AI12" si="7">1/(1+EXP(($E18-len)/2.5))</f>
        <v>1.2978976454834829E-9</v>
      </c>
      <c r="M12">
        <f t="shared" si="7"/>
        <v>1.99637952261423E-7</v>
      </c>
      <c r="N12">
        <f t="shared" si="7"/>
        <v>2.1058746277498515E-5</v>
      </c>
      <c r="O12">
        <f t="shared" si="7"/>
        <v>1.564676467664138E-3</v>
      </c>
      <c r="P12">
        <f t="shared" si="7"/>
        <v>7.7870643543285392E-2</v>
      </c>
      <c r="Q12">
        <f t="shared" si="7"/>
        <v>0.77146898694811417</v>
      </c>
      <c r="R12">
        <f>1/(1+EXP(($E18-len)/2.5))</f>
        <v>0.99032644321048724</v>
      </c>
      <c r="S12">
        <f t="shared" si="7"/>
        <v>0.99958428557508638</v>
      </c>
      <c r="T12">
        <f t="shared" si="7"/>
        <v>0.99997757111253649</v>
      </c>
      <c r="U12">
        <f t="shared" si="7"/>
        <v>0.99999849463304669</v>
      </c>
      <c r="V12">
        <f t="shared" si="7"/>
        <v>0.99999987630899723</v>
      </c>
      <c r="W12">
        <f t="shared" si="7"/>
        <v>0.99999998774476839</v>
      </c>
      <c r="X12">
        <f t="shared" si="7"/>
        <v>0.9999999985562078</v>
      </c>
      <c r="Y12">
        <f t="shared" si="7"/>
        <v>0.99999999980035637</v>
      </c>
      <c r="Z12">
        <f t="shared" si="7"/>
        <v>0.99999999996798428</v>
      </c>
      <c r="AA12">
        <f t="shared" si="7"/>
        <v>0.99999999999411138</v>
      </c>
      <c r="AB12">
        <f t="shared" si="7"/>
        <v>0.99999999999877054</v>
      </c>
      <c r="AC12">
        <f t="shared" si="7"/>
        <v>0.99999999999971134</v>
      </c>
      <c r="AD12">
        <f t="shared" si="7"/>
        <v>0.9999999999999245</v>
      </c>
      <c r="AE12">
        <f t="shared" si="7"/>
        <v>0.99999999999997824</v>
      </c>
      <c r="AF12">
        <f t="shared" si="7"/>
        <v>0.99999999999999312</v>
      </c>
      <c r="AG12">
        <f t="shared" si="7"/>
        <v>0.99999999999999756</v>
      </c>
      <c r="AH12">
        <f t="shared" si="7"/>
        <v>0.99999999999999911</v>
      </c>
      <c r="AI12">
        <f t="shared" si="7"/>
        <v>0.99999999999999956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0.18223163754585439</v>
      </c>
      <c r="J13" t="s">
        <v>101</v>
      </c>
      <c r="K13">
        <f>1/(1+EXP(($E19-len)/2.5))</f>
        <v>1.780212213170972E-32</v>
      </c>
      <c r="L13">
        <f t="shared" ref="L13:Q14" si="8">1/(1+EXP(($E19-len)/2.5))</f>
        <v>4.1166211340324113E-30</v>
      </c>
      <c r="M13">
        <f t="shared" si="8"/>
        <v>6.3320399670713315E-28</v>
      </c>
      <c r="N13">
        <f t="shared" si="8"/>
        <v>6.6794716679723202E-26</v>
      </c>
      <c r="O13">
        <f t="shared" si="8"/>
        <v>4.9705571051631045E-24</v>
      </c>
      <c r="P13">
        <f t="shared" si="8"/>
        <v>2.6784427606745092E-22</v>
      </c>
      <c r="Q13">
        <f t="shared" si="8"/>
        <v>1.0707147400765349E-20</v>
      </c>
      <c r="R13">
        <f>1/(1+EXP(($E19-len)/2.5))</f>
        <v>3.2470774237305647E-19</v>
      </c>
      <c r="S13">
        <f t="shared" ref="S13:AI13" si="9">1/(1+EXP(($E19-len)/2.5))</f>
        <v>7.6264913102733784E-18</v>
      </c>
      <c r="T13">
        <f t="shared" si="9"/>
        <v>1.4141093097190688E-16</v>
      </c>
      <c r="U13">
        <f t="shared" si="9"/>
        <v>2.1069654906178927E-15</v>
      </c>
      <c r="V13">
        <f t="shared" si="9"/>
        <v>2.5642613710579942E-14</v>
      </c>
      <c r="W13">
        <f t="shared" si="9"/>
        <v>2.5880873253271309E-13</v>
      </c>
      <c r="X13">
        <f t="shared" si="9"/>
        <v>2.1968263846960051E-12</v>
      </c>
      <c r="Y13">
        <f t="shared" si="9"/>
        <v>1.5887117618179969E-11</v>
      </c>
      <c r="Z13">
        <f t="shared" si="9"/>
        <v>9.9068954677535708E-11</v>
      </c>
      <c r="AA13">
        <f t="shared" si="9"/>
        <v>5.3863356368460146E-10</v>
      </c>
      <c r="AB13">
        <f t="shared" si="9"/>
        <v>2.5797156485912094E-9</v>
      </c>
      <c r="AC13">
        <f t="shared" si="9"/>
        <v>1.0987480026385197E-8</v>
      </c>
      <c r="AD13">
        <f t="shared" si="9"/>
        <v>4.198444838888185E-8</v>
      </c>
      <c r="AE13">
        <f t="shared" si="9"/>
        <v>1.4510196922743085E-7</v>
      </c>
      <c r="AF13">
        <f t="shared" si="9"/>
        <v>4.5700253478658503E-7</v>
      </c>
      <c r="AG13">
        <f t="shared" si="9"/>
        <v>1.3208259556624439E-6</v>
      </c>
      <c r="AH13">
        <f t="shared" si="9"/>
        <v>3.5257296435145709E-6</v>
      </c>
      <c r="AI13">
        <f t="shared" si="9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0.39999999999413338</v>
      </c>
      <c r="J14" t="s">
        <v>102</v>
      </c>
      <c r="K14">
        <f>1/(1+EXP(($E20-len)/2.5))</f>
        <v>5.6126934388498569E-12</v>
      </c>
      <c r="L14">
        <f t="shared" si="8"/>
        <v>1.2978976454834829E-9</v>
      </c>
      <c r="M14">
        <f t="shared" si="8"/>
        <v>1.99637952261423E-7</v>
      </c>
      <c r="N14">
        <f t="shared" si="8"/>
        <v>2.1058746277498515E-5</v>
      </c>
      <c r="O14">
        <f t="shared" si="8"/>
        <v>1.564676467664138E-3</v>
      </c>
      <c r="P14">
        <f t="shared" si="8"/>
        <v>7.7870643543285392E-2</v>
      </c>
      <c r="Q14">
        <f t="shared" si="8"/>
        <v>0.77146898694811417</v>
      </c>
      <c r="R14">
        <f>1/(1+EXP(($E20-len)/2.5))</f>
        <v>0.99032644321048724</v>
      </c>
      <c r="S14">
        <f t="shared" ref="S14:AI14" si="10">1/(1+EXP(($E20-len)/2.5))</f>
        <v>0.99958428557508638</v>
      </c>
      <c r="T14">
        <f t="shared" si="10"/>
        <v>0.99997757111253649</v>
      </c>
      <c r="U14">
        <f t="shared" si="10"/>
        <v>0.99999849463304669</v>
      </c>
      <c r="V14">
        <f t="shared" si="10"/>
        <v>0.99999987630899723</v>
      </c>
      <c r="W14">
        <f t="shared" si="10"/>
        <v>0.99999998774476839</v>
      </c>
      <c r="X14">
        <f t="shared" si="10"/>
        <v>0.9999999985562078</v>
      </c>
      <c r="Y14">
        <f t="shared" si="10"/>
        <v>0.99999999980035637</v>
      </c>
      <c r="Z14">
        <f t="shared" si="10"/>
        <v>0.99999999996798428</v>
      </c>
      <c r="AA14">
        <f t="shared" si="10"/>
        <v>0.99999999999411138</v>
      </c>
      <c r="AB14">
        <f t="shared" si="10"/>
        <v>0.99999999999877054</v>
      </c>
      <c r="AC14">
        <f t="shared" si="10"/>
        <v>0.99999999999971134</v>
      </c>
      <c r="AD14">
        <f t="shared" si="10"/>
        <v>0.9999999999999245</v>
      </c>
      <c r="AE14">
        <f t="shared" si="10"/>
        <v>0.99999999999997824</v>
      </c>
      <c r="AF14">
        <f t="shared" si="10"/>
        <v>0.99999999999999312</v>
      </c>
      <c r="AG14">
        <f t="shared" si="10"/>
        <v>0.99999999999999756</v>
      </c>
      <c r="AH14">
        <f t="shared" si="10"/>
        <v>0.99999999999999911</v>
      </c>
      <c r="AI14">
        <f t="shared" si="10"/>
        <v>0.99999999999999956</v>
      </c>
    </row>
    <row r="15" spans="1:35">
      <c r="A15" s="5"/>
      <c r="B15" s="26" t="s">
        <v>50</v>
      </c>
      <c r="C15" s="26">
        <f ca="1">CHOOSE(C25,SUMXMY2(B14,C14),SUMXMY2(B7,C7))</f>
        <v>3.4417470835137791E-23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1">((EXP(g*(ah-age)/gh)/(1+EXP((ah-age)/gh))) *(1/(1-g))*((1-g)/g)^g) *(sr+(1-sr)*dmr)</f>
        <v>2.8474655284082498E-7</v>
      </c>
      <c r="M18" s="4">
        <f t="shared" si="11"/>
        <v>7.2799064193298868E-7</v>
      </c>
      <c r="N18" s="4">
        <f t="shared" si="11"/>
        <v>1.8613941753055458E-6</v>
      </c>
      <c r="O18" s="4">
        <f t="shared" si="11"/>
        <v>4.7973732538525313E-6</v>
      </c>
      <c r="P18" s="4">
        <f t="shared" ref="P18:AI18" si="12">((EXP(g*(ah-age)/gh)/(1+EXP((ah-age)/gh))) *(1/(1-g))*((1-g)/g)^g) *(sr_1+(1-sr_1)*dmr)</f>
        <v>1.7137769583510798E-5</v>
      </c>
      <c r="Q18" s="4">
        <f t="shared" si="12"/>
        <v>1.5704525993082906E-4</v>
      </c>
      <c r="R18" s="4">
        <f t="shared" si="12"/>
        <v>4.9270679394694951E-4</v>
      </c>
      <c r="S18" s="4">
        <f t="shared" si="12"/>
        <v>1.268564977270979E-3</v>
      </c>
      <c r="T18" s="4">
        <f t="shared" si="12"/>
        <v>3.2379295167042068E-3</v>
      </c>
      <c r="U18" s="4">
        <f t="shared" si="12"/>
        <v>8.236827271567819E-3</v>
      </c>
      <c r="V18" s="4">
        <f t="shared" si="12"/>
        <v>2.079200621233079E-2</v>
      </c>
      <c r="W18" s="4">
        <f t="shared" si="12"/>
        <v>5.1491204378878774E-2</v>
      </c>
      <c r="X18" s="4">
        <f t="shared" si="12"/>
        <v>0.1218766197503028</v>
      </c>
      <c r="Y18" s="4">
        <f t="shared" si="12"/>
        <v>0.26191103363059803</v>
      </c>
      <c r="Z18" s="4">
        <f t="shared" si="12"/>
        <v>0.47569349278639222</v>
      </c>
      <c r="AA18" s="4">
        <f t="shared" si="12"/>
        <v>0.69879031204778541</v>
      </c>
      <c r="AB18" s="4">
        <f t="shared" si="12"/>
        <v>0.85577098971264853</v>
      </c>
      <c r="AC18" s="4">
        <f t="shared" si="12"/>
        <v>0.93820466490256382</v>
      </c>
      <c r="AD18" s="4">
        <f t="shared" si="12"/>
        <v>0.97493218621747679</v>
      </c>
      <c r="AE18" s="4">
        <f t="shared" si="12"/>
        <v>0.99008666767320841</v>
      </c>
      <c r="AF18" s="4">
        <f t="shared" si="12"/>
        <v>0.99613747651752416</v>
      </c>
      <c r="AG18" s="4">
        <f t="shared" si="12"/>
        <v>0.9985186584962934</v>
      </c>
      <c r="AH18" s="4">
        <f t="shared" si="12"/>
        <v>0.99944742353154647</v>
      </c>
      <c r="AI18" s="4">
        <f t="shared" si="12"/>
        <v>0.99980545659782449</v>
      </c>
    </row>
    <row r="19" spans="1:39">
      <c r="A19" t="s">
        <v>21</v>
      </c>
      <c r="B19">
        <v>12</v>
      </c>
      <c r="E19">
        <v>200</v>
      </c>
      <c r="F19" s="31">
        <v>0.4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1"/>
        <v>2.7913402329611753E-3</v>
      </c>
      <c r="L19" s="4">
        <f t="shared" si="11"/>
        <v>3.6077760555441117E-2</v>
      </c>
      <c r="M19" s="4">
        <f t="shared" si="11"/>
        <v>0.24760759580191832</v>
      </c>
      <c r="N19" s="4">
        <f t="shared" si="11"/>
        <v>0.39787494152939112</v>
      </c>
      <c r="O19" s="4">
        <f t="shared" si="11"/>
        <v>0.38506651442741963</v>
      </c>
      <c r="P19" s="4">
        <f t="shared" ref="P19:Y19" si="13">((EXP(g*(ah-age)/gh)/(1+EXP((ah-age)/gh))) *(1/(1-g))*((1-g)/g)^g) *(sr_2+(1-sr_2)*dmr)</f>
        <v>0.35371766938136068</v>
      </c>
      <c r="Q19" s="4">
        <f t="shared" si="13"/>
        <v>0.32462999187708075</v>
      </c>
      <c r="R19" s="4">
        <f t="shared" si="13"/>
        <v>0.29787028803561516</v>
      </c>
      <c r="S19" s="4">
        <f t="shared" si="13"/>
        <v>0.27331253470735434</v>
      </c>
      <c r="T19" s="4">
        <f t="shared" si="13"/>
        <v>0.25077919570694979</v>
      </c>
      <c r="U19" s="4">
        <f t="shared" si="13"/>
        <v>0.23010361066963747</v>
      </c>
      <c r="V19" s="4">
        <f t="shared" si="13"/>
        <v>0.21113263113934488</v>
      </c>
      <c r="W19" s="4">
        <f t="shared" si="13"/>
        <v>0.19372572116503445</v>
      </c>
      <c r="X19" s="4">
        <f t="shared" si="13"/>
        <v>0.1777539304929163</v>
      </c>
      <c r="Y19" s="4">
        <f t="shared" si="13"/>
        <v>0.16309894017265125</v>
      </c>
      <c r="Z19" s="4">
        <f>Y19</f>
        <v>0.16309894017265125</v>
      </c>
      <c r="AA19" s="4">
        <f t="shared" ref="AA19:AI20" si="14">Z19</f>
        <v>0.16309894017265125</v>
      </c>
      <c r="AB19" s="4">
        <f t="shared" si="14"/>
        <v>0.16309894017265125</v>
      </c>
      <c r="AC19" s="4">
        <f t="shared" si="14"/>
        <v>0.16309894017265125</v>
      </c>
      <c r="AD19" s="4">
        <f t="shared" si="14"/>
        <v>0.16309894017265125</v>
      </c>
      <c r="AE19" s="4">
        <f t="shared" si="14"/>
        <v>0.16309894017265125</v>
      </c>
      <c r="AF19" s="4">
        <f t="shared" si="14"/>
        <v>0.16309894017265125</v>
      </c>
      <c r="AG19" s="4">
        <f t="shared" si="14"/>
        <v>0.16309894017265125</v>
      </c>
      <c r="AH19" s="4">
        <f t="shared" si="14"/>
        <v>0.16309894017265125</v>
      </c>
      <c r="AI19" s="4">
        <f t="shared" si="14"/>
        <v>0.16309894017265125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1"/>
        <v>2.2517159451801021E-5</v>
      </c>
      <c r="L20" s="4">
        <f t="shared" si="11"/>
        <v>8.0649597967121964E-5</v>
      </c>
      <c r="M20" s="4">
        <f t="shared" si="11"/>
        <v>2.8819851781693308E-4</v>
      </c>
      <c r="N20" s="4">
        <f t="shared" si="11"/>
        <v>1.0211086414450173E-3</v>
      </c>
      <c r="O20" s="4">
        <f t="shared" si="11"/>
        <v>3.6398974953330489E-3</v>
      </c>
      <c r="P20" s="4">
        <f t="shared" ref="P20:Y20" si="15">((EXP(g*(ah-age)/gh)/(1+EXP((ah-age)/gh))) *(1/(1-g))*((1-g)/g)^g) *(sr_3+(1-sr_3)*dmr)</f>
        <v>3.3247090371016599E-2</v>
      </c>
      <c r="Q20" s="4">
        <f t="shared" si="15"/>
        <v>0.52071142085930722</v>
      </c>
      <c r="R20" s="4">
        <f t="shared" si="15"/>
        <v>0.9390844473751867</v>
      </c>
      <c r="S20" s="4">
        <f t="shared" si="15"/>
        <v>0.99607472397654595</v>
      </c>
      <c r="T20" s="4">
        <f t="shared" si="15"/>
        <v>0.93522350057800274</v>
      </c>
      <c r="U20" s="4">
        <f t="shared" si="15"/>
        <v>0.8498760006410957</v>
      </c>
      <c r="V20" s="4">
        <f t="shared" si="15"/>
        <v>0.76585734156821039</v>
      </c>
      <c r="W20" s="4">
        <f t="shared" si="15"/>
        <v>0.6886827052361959</v>
      </c>
      <c r="X20" s="4">
        <f t="shared" si="15"/>
        <v>0.61895512421121124</v>
      </c>
      <c r="Y20" s="4">
        <f t="shared" si="15"/>
        <v>0.5562130005311563</v>
      </c>
      <c r="Z20" s="4">
        <f>Y20</f>
        <v>0.5562130005311563</v>
      </c>
      <c r="AA20" s="4">
        <f t="shared" si="14"/>
        <v>0.5562130005311563</v>
      </c>
      <c r="AB20" s="4">
        <f t="shared" si="14"/>
        <v>0.5562130005311563</v>
      </c>
      <c r="AC20" s="4">
        <f t="shared" si="14"/>
        <v>0.5562130005311563</v>
      </c>
      <c r="AD20" s="4">
        <f t="shared" si="14"/>
        <v>0.5562130005311563</v>
      </c>
      <c r="AE20" s="4">
        <f t="shared" si="14"/>
        <v>0.5562130005311563</v>
      </c>
      <c r="AF20" s="4">
        <f t="shared" si="14"/>
        <v>0.5562130005311563</v>
      </c>
      <c r="AG20" s="4">
        <f t="shared" si="14"/>
        <v>0.5562130005311563</v>
      </c>
      <c r="AH20" s="4">
        <f t="shared" si="14"/>
        <v>0.5562130005311563</v>
      </c>
      <c r="AI20" s="4">
        <f t="shared" si="14"/>
        <v>0.5562130005311563</v>
      </c>
    </row>
    <row r="21" spans="1:39">
      <c r="A21" t="s">
        <v>42</v>
      </c>
      <c r="B21" s="1">
        <f>Bo/phie</f>
        <v>10156.738776787859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6">wa*flt1_*(1-EXP(-za))/za</f>
        <v>7.2554664151894655E-9</v>
      </c>
      <c r="L22" s="1">
        <f t="shared" ca="1" si="16"/>
        <v>1.2211474096495964E-7</v>
      </c>
      <c r="M22" s="1">
        <f t="shared" ca="1" si="16"/>
        <v>9.3965617576544147E-7</v>
      </c>
      <c r="N22" s="1">
        <f t="shared" ca="1" si="16"/>
        <v>5.1611529966554976E-6</v>
      </c>
      <c r="O22" s="1">
        <f t="shared" ca="1" si="16"/>
        <v>2.3739927913546653E-5</v>
      </c>
      <c r="P22" s="1">
        <f t="shared" ca="1" si="16"/>
        <v>1.3399273552198049E-4</v>
      </c>
      <c r="Q22" s="1">
        <f t="shared" ca="1" si="16"/>
        <v>1.7743104645424898E-3</v>
      </c>
      <c r="R22" s="1">
        <f t="shared" ca="1" si="16"/>
        <v>7.5636402985598669E-3</v>
      </c>
      <c r="S22" s="1">
        <f t="shared" ca="1" si="16"/>
        <v>2.5320387180155873E-2</v>
      </c>
      <c r="T22" s="1">
        <f t="shared" ca="1" si="16"/>
        <v>8.1037686645782675E-2</v>
      </c>
      <c r="U22" s="1">
        <f t="shared" ca="1" si="16"/>
        <v>0.25083568037782872</v>
      </c>
      <c r="V22" s="1">
        <f t="shared" ca="1" si="16"/>
        <v>0.75115883851735854</v>
      </c>
      <c r="W22" s="1">
        <f t="shared" ca="1" si="16"/>
        <v>2.1581738406799964</v>
      </c>
      <c r="X22" s="1">
        <f t="shared" ca="1" si="16"/>
        <v>5.8020369852067137</v>
      </c>
      <c r="Y22" s="1">
        <f t="shared" ca="1" si="16"/>
        <v>13.859874944790201</v>
      </c>
      <c r="Z22" s="1">
        <f t="shared" ca="1" si="16"/>
        <v>27.406718743103866</v>
      </c>
      <c r="AA22" s="1">
        <f t="shared" ca="1" si="16"/>
        <v>43.325324844446264</v>
      </c>
      <c r="AB22" s="1">
        <f t="shared" ca="1" si="16"/>
        <v>56.924593349152701</v>
      </c>
      <c r="AC22" s="1">
        <f t="shared" ca="1" si="16"/>
        <v>66.877333934781859</v>
      </c>
      <c r="AD22" s="1">
        <f t="shared" ca="1" si="16"/>
        <v>74.249597830696146</v>
      </c>
      <c r="AE22" s="1">
        <f t="shared" ca="1" si="16"/>
        <v>80.202912845856261</v>
      </c>
      <c r="AF22" s="1">
        <f t="shared" ca="1" si="16"/>
        <v>85.40602052797361</v>
      </c>
      <c r="AG22" s="1">
        <f t="shared" ca="1" si="16"/>
        <v>90.173344691483464</v>
      </c>
      <c r="AH22" s="1">
        <f t="shared" ca="1" si="16"/>
        <v>94.640794830463591</v>
      </c>
      <c r="AI22" s="1">
        <f t="shared" ca="1" si="16"/>
        <v>98.865018944890195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7">wa*flt2_*(1-EXP(-za))/za</f>
        <v>1.8183908643624625E-4</v>
      </c>
      <c r="L23" s="1">
        <f t="shared" ca="1" si="17"/>
        <v>1.5472097347167191E-2</v>
      </c>
      <c r="M23" s="1">
        <f t="shared" ca="1" si="17"/>
        <v>0.31960027115722539</v>
      </c>
      <c r="N23" s="1">
        <f t="shared" ca="1" si="17"/>
        <v>1.1032018225970162</v>
      </c>
      <c r="O23" s="1">
        <f t="shared" ca="1" si="17"/>
        <v>1.9055117896208242</v>
      </c>
      <c r="P23" s="1">
        <f t="shared" ca="1" si="17"/>
        <v>2.7655639721326364</v>
      </c>
      <c r="Q23" s="1">
        <f t="shared" ca="1" si="17"/>
        <v>3.6676967642674847</v>
      </c>
      <c r="R23" s="1">
        <f t="shared" ca="1" si="17"/>
        <v>4.5726662226062107</v>
      </c>
      <c r="S23" s="1">
        <f t="shared" ca="1" si="17"/>
        <v>5.4552816166086968</v>
      </c>
      <c r="T23" s="1">
        <f t="shared" ca="1" si="17"/>
        <v>6.2764077396184179</v>
      </c>
      <c r="U23" s="1">
        <f t="shared" ca="1" si="17"/>
        <v>7.0073335080058436</v>
      </c>
      <c r="V23" s="1">
        <f t="shared" ca="1" si="17"/>
        <v>7.627649797723187</v>
      </c>
      <c r="W23" s="1">
        <f t="shared" ca="1" si="17"/>
        <v>8.1197126524533729</v>
      </c>
      <c r="X23" s="1">
        <f t="shared" ca="1" si="17"/>
        <v>8.4621224407005382</v>
      </c>
      <c r="Y23" s="1">
        <f t="shared" ca="1" si="17"/>
        <v>8.6309113559875481</v>
      </c>
      <c r="Z23" s="1">
        <f t="shared" ca="1" si="17"/>
        <v>9.3968213742570796</v>
      </c>
      <c r="AA23" s="1">
        <f t="shared" ca="1" si="17"/>
        <v>10.112210262413893</v>
      </c>
      <c r="AB23" s="1">
        <f t="shared" ca="1" si="17"/>
        <v>10.849095092746087</v>
      </c>
      <c r="AC23" s="1">
        <f t="shared" ca="1" si="17"/>
        <v>11.626058465045261</v>
      </c>
      <c r="AD23" s="1">
        <f t="shared" ca="1" si="17"/>
        <v>12.421408263703338</v>
      </c>
      <c r="AE23" s="1">
        <f t="shared" ca="1" si="17"/>
        <v>13.211984880737973</v>
      </c>
      <c r="AF23" s="1">
        <f t="shared" ca="1" si="17"/>
        <v>13.983643584190704</v>
      </c>
      <c r="AG23" s="1">
        <f t="shared" ca="1" si="17"/>
        <v>14.728995623529165</v>
      </c>
      <c r="AH23" s="1">
        <f t="shared" ca="1" si="17"/>
        <v>15.44434751695443</v>
      </c>
      <c r="AI23" s="1">
        <f t="shared" ca="1" si="17"/>
        <v>16.127917389979732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8">wa*flt3_*(1-EXP(-za))/za</f>
        <v>1.4668579829522115E-6</v>
      </c>
      <c r="L24" s="1">
        <f t="shared" ca="1" si="18"/>
        <v>3.4586914806967331E-5</v>
      </c>
      <c r="M24" s="1">
        <f t="shared" ca="1" si="18"/>
        <v>3.7199312946395755E-4</v>
      </c>
      <c r="N24" s="1">
        <f t="shared" ca="1" si="18"/>
        <v>2.8312637885200718E-3</v>
      </c>
      <c r="O24" s="1">
        <f t="shared" ca="1" si="18"/>
        <v>1.8012128633625352E-2</v>
      </c>
      <c r="P24" s="1">
        <f t="shared" ca="1" si="18"/>
        <v>0.25994447907884632</v>
      </c>
      <c r="Q24" s="1">
        <f t="shared" ca="1" si="18"/>
        <v>5.883041127407429</v>
      </c>
      <c r="R24" s="1">
        <f t="shared" ca="1" si="18"/>
        <v>14.416072717443724</v>
      </c>
      <c r="S24" s="1">
        <f t="shared" ca="1" si="18"/>
        <v>19.88151819050697</v>
      </c>
      <c r="T24" s="1">
        <f t="shared" ca="1" si="18"/>
        <v>23.406423330905263</v>
      </c>
      <c r="U24" s="1">
        <f t="shared" ca="1" si="18"/>
        <v>25.881230457928513</v>
      </c>
      <c r="V24" s="1">
        <f t="shared" ca="1" si="18"/>
        <v>27.668350292296289</v>
      </c>
      <c r="W24" s="1">
        <f t="shared" ca="1" si="18"/>
        <v>28.865065731093221</v>
      </c>
      <c r="X24" s="1">
        <f t="shared" ca="1" si="18"/>
        <v>29.46586909133358</v>
      </c>
      <c r="Y24" s="1">
        <f t="shared" ca="1" si="18"/>
        <v>29.433821565918695</v>
      </c>
      <c r="Z24" s="1">
        <f t="shared" ca="1" si="18"/>
        <v>32.045788933380486</v>
      </c>
      <c r="AA24" s="1">
        <f t="shared" ca="1" si="18"/>
        <v>34.485465117708451</v>
      </c>
      <c r="AB24" s="1">
        <f t="shared" ca="1" si="18"/>
        <v>36.998448476711836</v>
      </c>
      <c r="AC24" s="1">
        <f t="shared" ca="1" si="18"/>
        <v>39.648110872751097</v>
      </c>
      <c r="AD24" s="1">
        <f t="shared" ca="1" si="18"/>
        <v>42.36047612488067</v>
      </c>
      <c r="AE24" s="1">
        <f t="shared" ca="1" si="18"/>
        <v>45.05656349273923</v>
      </c>
      <c r="AF24" s="1">
        <f t="shared" ca="1" si="18"/>
        <v>47.688135484433843</v>
      </c>
      <c r="AG24" s="1">
        <f t="shared" ca="1" si="18"/>
        <v>50.229994394207324</v>
      </c>
      <c r="AH24" s="1">
        <f t="shared" ca="1" si="18"/>
        <v>52.669544416154238</v>
      </c>
      <c r="AI24" s="1">
        <f t="shared" ca="1" si="18"/>
        <v>55.000708859930661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1.0341527936908701E-7</v>
      </c>
      <c r="L26">
        <f t="shared" ref="L26:AI26" ca="1" si="19">qa1_/wa</f>
        <v>2.6409649833279532E-7</v>
      </c>
      <c r="M26">
        <f t="shared" ca="1" si="19"/>
        <v>6.7038364093143281E-7</v>
      </c>
      <c r="N26">
        <f t="shared" ca="1" si="19"/>
        <v>1.7054201233053675E-6</v>
      </c>
      <c r="O26">
        <f t="shared" ca="1" si="19"/>
        <v>4.3971673790760521E-6</v>
      </c>
      <c r="P26">
        <f t="shared" ca="1" si="19"/>
        <v>1.5720228181339138E-5</v>
      </c>
      <c r="Q26">
        <f t="shared" ca="1" si="19"/>
        <v>1.4352195768321588E-4</v>
      </c>
      <c r="R26">
        <f t="shared" ca="1" si="19"/>
        <v>4.4886742187868632E-4</v>
      </c>
      <c r="S26">
        <f t="shared" ca="1" si="19"/>
        <v>1.1559283121813872E-3</v>
      </c>
      <c r="T26">
        <f t="shared" ca="1" si="19"/>
        <v>2.9538192472318521E-3</v>
      </c>
      <c r="U26">
        <f t="shared" ca="1" si="19"/>
        <v>7.5217773674507533E-3</v>
      </c>
      <c r="V26">
        <f t="shared" ca="1" si="19"/>
        <v>1.8991003825613754E-2</v>
      </c>
      <c r="W26">
        <f t="shared" ca="1" si="19"/>
        <v>4.695152909372869E-2</v>
      </c>
      <c r="X26">
        <f t="shared" ca="1" si="19"/>
        <v>0.11049930243069969</v>
      </c>
      <c r="Y26">
        <f t="shared" ca="1" si="19"/>
        <v>0.23448548393028745</v>
      </c>
      <c r="Z26">
        <f t="shared" ca="1" si="19"/>
        <v>0.41711915547861456</v>
      </c>
      <c r="AA26">
        <f t="shared" ca="1" si="19"/>
        <v>0.59969367206837521</v>
      </c>
      <c r="AB26">
        <f t="shared" ca="1" si="19"/>
        <v>0.72344423644164357</v>
      </c>
      <c r="AC26">
        <f t="shared" ca="1" si="19"/>
        <v>0.78691530754323602</v>
      </c>
      <c r="AD26">
        <f t="shared" ca="1" si="19"/>
        <v>0.81486487537790853</v>
      </c>
      <c r="AE26">
        <f t="shared" ca="1" si="19"/>
        <v>0.8263387633658269</v>
      </c>
      <c r="AF26">
        <f t="shared" ca="1" si="19"/>
        <v>0.83091046952909275</v>
      </c>
      <c r="AG26">
        <f t="shared" ca="1" si="19"/>
        <v>0.83270808908178795</v>
      </c>
      <c r="AH26">
        <f t="shared" ca="1" si="19"/>
        <v>0.83340901136829881</v>
      </c>
      <c r="AI26">
        <f t="shared" ca="1" si="19"/>
        <v>0.83367917834490646</v>
      </c>
      <c r="AM26" s="44"/>
    </row>
    <row r="27" spans="1:39">
      <c r="A27" t="s">
        <v>14</v>
      </c>
      <c r="B27" s="28">
        <f ca="1">fbar*C27</f>
        <v>0.20284919299662998</v>
      </c>
      <c r="C27" s="36">
        <f ca="1">CHOOSE(C$25,E36,E39,1)</f>
        <v>2.0834514042226919</v>
      </c>
      <c r="E27" s="42">
        <f ca="1">f1_/(F4/(f1_*365*re*phib))</f>
        <v>368.46838513280682</v>
      </c>
      <c r="J27" s="8" t="s">
        <v>31</v>
      </c>
      <c r="K27">
        <f t="shared" ref="K27:AI27" ca="1" si="20">qa2_/wa</f>
        <v>2.5918306071482109E-3</v>
      </c>
      <c r="L27">
        <f t="shared" ca="1" si="20"/>
        <v>3.3461371649009072E-2</v>
      </c>
      <c r="M27">
        <f t="shared" ca="1" si="20"/>
        <v>0.22801403209692372</v>
      </c>
      <c r="N27">
        <f t="shared" ca="1" si="20"/>
        <v>0.36453532564202196</v>
      </c>
      <c r="O27">
        <f t="shared" ca="1" si="20"/>
        <v>0.35294354356418722</v>
      </c>
      <c r="P27">
        <f t="shared" ca="1" si="20"/>
        <v>0.32446010242759682</v>
      </c>
      <c r="Q27">
        <f t="shared" ca="1" si="20"/>
        <v>0.29667582439232132</v>
      </c>
      <c r="R27">
        <f t="shared" ca="1" si="20"/>
        <v>0.27136680453244255</v>
      </c>
      <c r="S27">
        <f t="shared" ca="1" si="20"/>
        <v>0.24904494653631204</v>
      </c>
      <c r="T27">
        <f t="shared" ca="1" si="20"/>
        <v>0.2287747189254774</v>
      </c>
      <c r="U27">
        <f t="shared" ca="1" si="20"/>
        <v>0.21012801092454331</v>
      </c>
      <c r="V27">
        <f t="shared" ca="1" si="20"/>
        <v>0.19284433472808765</v>
      </c>
      <c r="W27">
        <f t="shared" ca="1" si="20"/>
        <v>0.17664606884228695</v>
      </c>
      <c r="X27">
        <f t="shared" ca="1" si="20"/>
        <v>0.16116040438292126</v>
      </c>
      <c r="Y27">
        <f t="shared" ca="1" si="20"/>
        <v>0.14602032371359094</v>
      </c>
      <c r="Z27">
        <f t="shared" ca="1" si="20"/>
        <v>0.14301581420795817</v>
      </c>
      <c r="AA27">
        <f t="shared" ca="1" si="20"/>
        <v>0.13996960269235811</v>
      </c>
      <c r="AB27">
        <f t="shared" ca="1" si="20"/>
        <v>0.13787916353330085</v>
      </c>
      <c r="AC27">
        <f t="shared" ca="1" si="20"/>
        <v>0.13679856588569278</v>
      </c>
      <c r="AD27">
        <f t="shared" ca="1" si="20"/>
        <v>0.13632086358097711</v>
      </c>
      <c r="AE27">
        <f t="shared" ca="1" si="20"/>
        <v>0.1361244231732549</v>
      </c>
      <c r="AF27">
        <f t="shared" ca="1" si="20"/>
        <v>0.13604609820758107</v>
      </c>
      <c r="AG27">
        <f t="shared" ca="1" si="20"/>
        <v>0.13601529189946271</v>
      </c>
      <c r="AH27">
        <f t="shared" ca="1" si="20"/>
        <v>0.1360032786959465</v>
      </c>
      <c r="AI27">
        <f t="shared" ca="1" si="20"/>
        <v>0.13599864807174811</v>
      </c>
    </row>
    <row r="28" spans="1:39">
      <c r="A28" t="s">
        <v>15</v>
      </c>
      <c r="B28" s="28">
        <f ca="1">fbar*C28</f>
        <v>6.9462759065942403E-2</v>
      </c>
      <c r="C28" s="36">
        <f ca="1">CHOOSE(C$25,E37,E40,1)</f>
        <v>0.71344766414488314</v>
      </c>
      <c r="E28" s="42">
        <f ca="1">f2_/(F5/(f2_*365*re*phib))</f>
        <v>115.85509458652852</v>
      </c>
      <c r="J28" s="8" t="s">
        <v>32</v>
      </c>
      <c r="K28">
        <f t="shared" ref="K28:AI28" ca="1" si="21">qa3_/wa</f>
        <v>2.0907756913353052E-5</v>
      </c>
      <c r="L28">
        <f t="shared" ca="1" si="21"/>
        <v>7.4800822705555498E-5</v>
      </c>
      <c r="M28">
        <f t="shared" ca="1" si="21"/>
        <v>2.6539293303572765E-4</v>
      </c>
      <c r="N28">
        <f t="shared" ca="1" si="21"/>
        <v>9.355456508374887E-4</v>
      </c>
      <c r="O28">
        <f t="shared" ca="1" si="21"/>
        <v>3.3362504192906194E-3</v>
      </c>
      <c r="P28">
        <f t="shared" ca="1" si="21"/>
        <v>3.0497075156200999E-2</v>
      </c>
      <c r="Q28">
        <f t="shared" ca="1" si="21"/>
        <v>0.47587251307459555</v>
      </c>
      <c r="R28">
        <f t="shared" ca="1" si="21"/>
        <v>0.85552791233696113</v>
      </c>
      <c r="S28">
        <f t="shared" ca="1" si="21"/>
        <v>0.90763263618525736</v>
      </c>
      <c r="T28">
        <f t="shared" ca="1" si="21"/>
        <v>0.85316285058690911</v>
      </c>
      <c r="U28">
        <f t="shared" ca="1" si="21"/>
        <v>0.77609713740482211</v>
      </c>
      <c r="V28">
        <f t="shared" ca="1" si="21"/>
        <v>0.69951882252568032</v>
      </c>
      <c r="W28">
        <f t="shared" ca="1" si="21"/>
        <v>0.62796561978473431</v>
      </c>
      <c r="X28">
        <f t="shared" ca="1" si="21"/>
        <v>0.56117497844434594</v>
      </c>
      <c r="Y28">
        <f t="shared" ca="1" si="21"/>
        <v>0.49797014195979455</v>
      </c>
      <c r="Z28">
        <f t="shared" ca="1" si="21"/>
        <v>0.48772392426222166</v>
      </c>
      <c r="AA28">
        <f t="shared" ca="1" si="21"/>
        <v>0.47733549104769007</v>
      </c>
      <c r="AB28">
        <f t="shared" ca="1" si="21"/>
        <v>0.47020650887370263</v>
      </c>
      <c r="AC28">
        <f t="shared" ca="1" si="21"/>
        <v>0.46652136868023036</v>
      </c>
      <c r="AD28">
        <f t="shared" ca="1" si="21"/>
        <v>0.4648922702202079</v>
      </c>
      <c r="AE28">
        <f t="shared" ca="1" si="21"/>
        <v>0.46422235349058916</v>
      </c>
      <c r="AF28">
        <f t="shared" ca="1" si="21"/>
        <v>0.46395524345218042</v>
      </c>
      <c r="AG28">
        <f t="shared" ca="1" si="21"/>
        <v>0.46385018532577171</v>
      </c>
      <c r="AH28">
        <f t="shared" ca="1" si="21"/>
        <v>0.46380921694200006</v>
      </c>
      <c r="AI28">
        <f t="shared" ca="1" si="21"/>
        <v>0.46379342521841799</v>
      </c>
    </row>
    <row r="29" spans="1:39">
      <c r="A29" t="s">
        <v>19</v>
      </c>
      <c r="B29" s="28">
        <f ca="1">fbar*C29</f>
        <v>1.9774332146648737E-2</v>
      </c>
      <c r="C29" s="36">
        <f ca="1">CHOOSE(C$25,E38,E41,1)</f>
        <v>0.20310093163242554</v>
      </c>
      <c r="E29" s="42">
        <f ca="1">f3_/(F6/(f3_*365*re*phib))</f>
        <v>12.347537216229719</v>
      </c>
    </row>
    <row r="30" spans="1:39">
      <c r="A30" t="s">
        <v>95</v>
      </c>
      <c r="B30" s="28">
        <v>9.7362094736407029E-2</v>
      </c>
      <c r="C30" s="36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0.29208628420922117</v>
      </c>
      <c r="G31">
        <f ca="1">SUMPRODUCT(dlz1_,wa,ma)</f>
        <v>-49.624279410094779</v>
      </c>
      <c r="H31">
        <f ca="1">Ro/(reck-1)*phie/phif^2*dphif</f>
        <v>-2908.6409318733586</v>
      </c>
      <c r="J31" s="8" t="s">
        <v>52</v>
      </c>
      <c r="K31">
        <v>0</v>
      </c>
      <c r="L31">
        <f t="shared" ref="L31:AH31" ca="1" si="22">K31*sa-K$7*K18*K$10</f>
        <v>-9.5843416835911557E-8</v>
      </c>
      <c r="M31">
        <f t="shared" ca="1" si="22"/>
        <v>-2.9146222261902322E-7</v>
      </c>
      <c r="N31">
        <f t="shared" ca="1" si="22"/>
        <v>-6.9905844890946483E-7</v>
      </c>
      <c r="O31">
        <f t="shared" ca="1" si="22"/>
        <v>-1.5598635799703582E-6</v>
      </c>
      <c r="P31">
        <f t="shared" ca="1" si="22"/>
        <v>-3.4128034519311396E-6</v>
      </c>
      <c r="Q31">
        <f t="shared" ca="1" si="22"/>
        <v>-9.1494660940214311E-6</v>
      </c>
      <c r="R31">
        <f t="shared" ca="1" si="22"/>
        <v>-5.5707463413884144E-5</v>
      </c>
      <c r="S31">
        <f t="shared" ca="1" si="22"/>
        <v>-1.7108473762664851E-4</v>
      </c>
      <c r="T31">
        <f t="shared" ca="1" si="22"/>
        <v>-4.0832552986539491E-4</v>
      </c>
      <c r="U31">
        <f t="shared" ca="1" si="22"/>
        <v>-9.0369650414109503E-4</v>
      </c>
      <c r="V31">
        <f t="shared" ca="1" si="22"/>
        <v>-1.9451766489667472E-3</v>
      </c>
      <c r="W31">
        <f t="shared" ca="1" si="22"/>
        <v>-4.1186445898522533E-3</v>
      </c>
      <c r="X31">
        <f t="shared" ca="1" si="22"/>
        <v>-8.5194545663003409E-3</v>
      </c>
      <c r="Y31">
        <f t="shared" ca="1" si="22"/>
        <v>-1.6777259196419082E-2</v>
      </c>
      <c r="Z31">
        <f t="shared" ca="1" si="22"/>
        <v>-2.993598015552517E-2</v>
      </c>
      <c r="AA31">
        <f t="shared" ca="1" si="22"/>
        <v>-4.562258220470998E-2</v>
      </c>
      <c r="AB31">
        <f t="shared" ca="1" si="22"/>
        <v>-5.7771782957283899E-2</v>
      </c>
      <c r="AC31">
        <f t="shared" ca="1" si="22"/>
        <v>-6.2287865798041069E-2</v>
      </c>
      <c r="AD31">
        <f t="shared" ca="1" si="22"/>
        <v>-5.9870679038498305E-2</v>
      </c>
      <c r="AE31">
        <f t="shared" ca="1" si="22"/>
        <v>-5.3317579467246766E-2</v>
      </c>
      <c r="AF31">
        <f t="shared" ca="1" si="22"/>
        <v>-4.5123304863422628E-2</v>
      </c>
      <c r="AG31">
        <f t="shared" ca="1" si="22"/>
        <v>-3.6867700862147378E-2</v>
      </c>
      <c r="AH31">
        <f t="shared" ca="1" si="22"/>
        <v>-2.936864286644093E-2</v>
      </c>
      <c r="AI31">
        <f ca="1">(AH31*sa-AH$7*AH18*AH$10)/oa-AH$7*AH$10*flt1_*sa/oa^2</f>
        <v>-9.2868539314000409E-2</v>
      </c>
    </row>
    <row r="32" spans="1:39">
      <c r="A32" s="12" t="s">
        <v>22</v>
      </c>
      <c r="B32" s="12"/>
      <c r="C32" s="12"/>
      <c r="G32">
        <f ca="1">SUMPRODUCT(dlz2_,wa,ma)</f>
        <v>-125.06012524014271</v>
      </c>
      <c r="H32">
        <f ca="1">Ro/(reck-1)*phie/phif^2*dphif</f>
        <v>-7330.1819904047024</v>
      </c>
      <c r="J32" s="8" t="s">
        <v>53</v>
      </c>
      <c r="K32">
        <v>0</v>
      </c>
      <c r="L32">
        <f t="shared" ref="L32:AH32" ca="1" si="23">K32*sa-K$7*K19*K$10</f>
        <v>-2.4020618883831462E-3</v>
      </c>
      <c r="M32">
        <f t="shared" ca="1" si="23"/>
        <v>-2.8687147798548335E-2</v>
      </c>
      <c r="N32">
        <f t="shared" ca="1" si="23"/>
        <v>-0.17878733777132916</v>
      </c>
      <c r="O32">
        <f t="shared" ca="1" si="23"/>
        <v>-0.35802648979800222</v>
      </c>
      <c r="P32">
        <f t="shared" ca="1" si="23"/>
        <v>-0.46933162343005602</v>
      </c>
      <c r="Q32">
        <f t="shared" ca="1" si="23"/>
        <v>-0.52106727168155154</v>
      </c>
      <c r="R32">
        <f t="shared" ca="1" si="23"/>
        <v>-0.53068020652990477</v>
      </c>
      <c r="S32">
        <f t="shared" ca="1" si="23"/>
        <v>-0.51486722019550835</v>
      </c>
      <c r="T32">
        <f t="shared" ca="1" si="23"/>
        <v>-0.48462420748517321</v>
      </c>
      <c r="U32">
        <f t="shared" ca="1" si="23"/>
        <v>-0.44668458866647842</v>
      </c>
      <c r="V32">
        <f t="shared" ca="1" si="23"/>
        <v>-0.40494077495772857</v>
      </c>
      <c r="W32">
        <f t="shared" ca="1" si="23"/>
        <v>-0.36114890711848574</v>
      </c>
      <c r="X32">
        <f t="shared" ca="1" si="23"/>
        <v>-0.31524533200452848</v>
      </c>
      <c r="Y32">
        <f t="shared" ca="1" si="23"/>
        <v>-0.26616546920049999</v>
      </c>
      <c r="Z32">
        <f t="shared" ca="1" si="23"/>
        <v>-0.21408174838000077</v>
      </c>
      <c r="AA32">
        <f t="shared" ca="1" si="23"/>
        <v>-0.1645236664801186</v>
      </c>
      <c r="AB32">
        <f t="shared" ca="1" si="23"/>
        <v>-0.12236137222906897</v>
      </c>
      <c r="AC32">
        <f t="shared" ca="1" si="23"/>
        <v>-8.9353106806749683E-2</v>
      </c>
      <c r="AD32">
        <f t="shared" ca="1" si="23"/>
        <v>-6.464284372850132E-2</v>
      </c>
      <c r="AE32">
        <f t="shared" ca="1" si="23"/>
        <v>-4.6533042015867249E-2</v>
      </c>
      <c r="AF32">
        <f t="shared" ca="1" si="23"/>
        <v>-3.3394109248242897E-2</v>
      </c>
      <c r="AG32">
        <f t="shared" ca="1" si="23"/>
        <v>-2.3912253187015637E-2</v>
      </c>
      <c r="AH32">
        <f t="shared" ca="1" si="23"/>
        <v>-1.7092076420848423E-2</v>
      </c>
      <c r="AI32">
        <f ca="1">(AH32*sa-AH$7*AH19*AH$10)/oa-AH$7*AH$10*flt2_*sa/oa^2</f>
        <v>-4.217432302312854E-2</v>
      </c>
    </row>
    <row r="33" spans="1:35">
      <c r="A33" s="59" t="s">
        <v>130</v>
      </c>
      <c r="B33" s="60">
        <f ca="1">SUMPRODUCT(lz,wa)</f>
        <v>76.985683773570543</v>
      </c>
      <c r="C33" s="59"/>
      <c r="D33" s="61"/>
      <c r="E33" s="61"/>
      <c r="G33">
        <f ca="1">SUMPRODUCT(dlz3_,wa,ma)</f>
        <v>-236.16506288774252</v>
      </c>
      <c r="H33">
        <f ca="1">Ro/(reck-1)*phie/phif^2*dphif</f>
        <v>-13842.404902588827</v>
      </c>
      <c r="J33" s="8" t="s">
        <v>54</v>
      </c>
      <c r="K33">
        <v>0</v>
      </c>
      <c r="L33">
        <f t="shared" ref="L33:AH33" ca="1" si="24">K33*sa-K$7*K20*K$10</f>
        <v>-1.9376932240337852E-5</v>
      </c>
      <c r="M33">
        <f t="shared" ca="1" si="24"/>
        <v>-7.5978855262714244E-5</v>
      </c>
      <c r="N33">
        <f t="shared" ca="1" si="24"/>
        <v>-2.4375307737321361E-4</v>
      </c>
      <c r="O33">
        <f t="shared" ca="1" si="24"/>
        <v>-7.3861280086504793E-4</v>
      </c>
      <c r="P33">
        <f t="shared" ca="1" si="24"/>
        <v>-2.2160002240430455E-3</v>
      </c>
      <c r="Q33">
        <f t="shared" ca="1" si="24"/>
        <v>-1.4081241252012657E-2</v>
      </c>
      <c r="R33">
        <f t="shared" ca="1" si="24"/>
        <v>-0.17125679826120063</v>
      </c>
      <c r="S33">
        <f t="shared" ca="1" si="24"/>
        <v>-0.37995806181794911</v>
      </c>
      <c r="T33">
        <f t="shared" ca="1" si="24"/>
        <v>-0.52443419485266729</v>
      </c>
      <c r="U33">
        <f t="shared" ca="1" si="24"/>
        <v>-0.59904106549466674</v>
      </c>
      <c r="V33">
        <f t="shared" ca="1" si="24"/>
        <v>-0.62148282941681976</v>
      </c>
      <c r="W33">
        <f t="shared" ca="1" si="24"/>
        <v>-0.60752618658613899</v>
      </c>
      <c r="X33">
        <f t="shared" ca="1" si="24"/>
        <v>-0.56655806846403445</v>
      </c>
      <c r="Y33">
        <f t="shared" ca="1" si="24"/>
        <v>-0.50287015843997895</v>
      </c>
      <c r="Z33">
        <f t="shared" ca="1" si="24"/>
        <v>-0.42067660070867097</v>
      </c>
      <c r="AA33">
        <f t="shared" ca="1" si="24"/>
        <v>-0.33506506663387903</v>
      </c>
      <c r="AB33">
        <f t="shared" ca="1" si="24"/>
        <v>-0.25737126108905178</v>
      </c>
      <c r="AC33">
        <f t="shared" ca="1" si="24"/>
        <v>-0.19344439499465713</v>
      </c>
      <c r="AD33">
        <f t="shared" ca="1" si="24"/>
        <v>-0.14359601838197719</v>
      </c>
      <c r="AE33">
        <f t="shared" ca="1" si="24"/>
        <v>-0.10577270327094138</v>
      </c>
      <c r="AF33">
        <f t="shared" ca="1" si="24"/>
        <v>-7.7491232043415598E-2</v>
      </c>
      <c r="AG33">
        <f t="shared" ca="1" si="24"/>
        <v>-5.6532542879954809E-2</v>
      </c>
      <c r="AH33">
        <f t="shared" ca="1" si="24"/>
        <v>-4.1097388886552857E-2</v>
      </c>
      <c r="AI33">
        <f ca="1">(AH33*sa-AH$7*AH20*AH$10)/oa-AH$7*AH$10*flt3_*sa/oa^2</f>
        <v>-0.10605892918026566</v>
      </c>
    </row>
    <row r="34" spans="1:35">
      <c r="A34" t="s">
        <v>28</v>
      </c>
      <c r="B34" s="1">
        <f>SUMPRODUCT(lx,wa,ma)</f>
        <v>98.456800157683801</v>
      </c>
      <c r="G34" t="s">
        <v>57</v>
      </c>
      <c r="J34" s="8"/>
    </row>
    <row r="35" spans="1:35">
      <c r="A35" t="s">
        <v>27</v>
      </c>
      <c r="B35" s="1">
        <f ca="1">SUMPRODUCT(lz,wa,ma)</f>
        <v>39.382720062495913</v>
      </c>
      <c r="F35" s="37"/>
      <c r="G35" s="1">
        <f ca="1">SUM(dqa11_)</f>
        <v>674.42687187692343</v>
      </c>
      <c r="H35" s="1">
        <f ca="1">SUM(dqa12_)</f>
        <v>678.43223328898762</v>
      </c>
      <c r="I35" s="11">
        <f ca="1">SUM(dqa13_)</f>
        <v>675.64422190623941</v>
      </c>
      <c r="J35" s="8" t="s">
        <v>62</v>
      </c>
      <c r="K35">
        <f ca="1">flt1_*qa1_+lz*wa*flt1_^2/za*(sa-oa/za)</f>
        <v>4.1415205071399027E-16</v>
      </c>
      <c r="L35">
        <f t="shared" ref="L35:AI35" ca="1" si="25">flt1_*qa1_+lz*wa*flt1_^2/za*(sa-oa/za)</f>
        <v>2.0190634871015379E-14</v>
      </c>
      <c r="M35">
        <f t="shared" ca="1" si="25"/>
        <v>4.3840106192752396E-13</v>
      </c>
      <c r="N35">
        <f t="shared" ca="1" si="25"/>
        <v>6.6933375811722602E-12</v>
      </c>
      <c r="O35">
        <f t="shared" ca="1" si="25"/>
        <v>8.4966879279850717E-11</v>
      </c>
      <c r="P35">
        <f t="shared" ca="1" si="25"/>
        <v>1.8075567712523603E-9</v>
      </c>
      <c r="Q35">
        <f t="shared" ca="1" si="25"/>
        <v>2.2893511389923034E-7</v>
      </c>
      <c r="R35">
        <f t="shared" ca="1" si="25"/>
        <v>3.1735371344468268E-6</v>
      </c>
      <c r="S35">
        <f t="shared" ca="1" si="25"/>
        <v>2.8175292568956289E-5</v>
      </c>
      <c r="T35">
        <f t="shared" ca="1" si="25"/>
        <v>2.357030673880049E-4</v>
      </c>
      <c r="U35">
        <f t="shared" ca="1" si="25"/>
        <v>1.8916306278367969E-3</v>
      </c>
      <c r="V35">
        <f t="shared" ca="1" si="25"/>
        <v>1.4521379070648573E-2</v>
      </c>
      <c r="W35">
        <f t="shared" ca="1" si="25"/>
        <v>0.10463906545499355</v>
      </c>
      <c r="X35">
        <f t="shared" ca="1" si="25"/>
        <v>0.67297666155996017</v>
      </c>
      <c r="Y35">
        <f t="shared" ca="1" si="25"/>
        <v>3.487045411272399</v>
      </c>
      <c r="Z35">
        <f t="shared" ca="1" si="25"/>
        <v>12.630327770671066</v>
      </c>
      <c r="AA35">
        <f t="shared" ca="1" si="25"/>
        <v>29.55887022444541</v>
      </c>
      <c r="AB35">
        <f t="shared" ca="1" si="25"/>
        <v>47.877030208889565</v>
      </c>
      <c r="AC35">
        <f t="shared" ca="1" si="25"/>
        <v>61.98371376434563</v>
      </c>
      <c r="AD35">
        <f t="shared" ca="1" si="25"/>
        <v>71.778276083006318</v>
      </c>
      <c r="AE35">
        <f t="shared" ca="1" si="25"/>
        <v>78.945886460441329</v>
      </c>
      <c r="AF35">
        <f t="shared" ca="1" si="25"/>
        <v>84.735431913007588</v>
      </c>
      <c r="AG35">
        <f t="shared" ca="1" si="25"/>
        <v>89.791812647138656</v>
      </c>
      <c r="AH35">
        <f t="shared" ca="1" si="25"/>
        <v>94.409456659832131</v>
      </c>
      <c r="AI35">
        <f t="shared" ca="1" si="25"/>
        <v>98.434724714427915</v>
      </c>
    </row>
    <row r="36" spans="1:35">
      <c r="A36" t="s">
        <v>33</v>
      </c>
      <c r="B36" s="1">
        <f ca="1">SUMPRODUCT(lz,ta1_)</f>
        <v>0.19261071606062094</v>
      </c>
      <c r="C36" s="29">
        <f ca="1">B11/(phi_t1/SUM(B$36:B$38))</f>
        <v>3.7580996040680579</v>
      </c>
      <c r="E36" s="38">
        <f ca="1">C36/AVERAGE(C$36:C$38)</f>
        <v>2.0835457860959901</v>
      </c>
      <c r="G36" s="1">
        <f ca="1">SUM(dqa21_)</f>
        <v>678.43223328898762</v>
      </c>
      <c r="H36" s="1">
        <f ca="1">SUM(dqa22_)</f>
        <v>34.432112327657492</v>
      </c>
      <c r="I36" s="11">
        <f ca="1">SUM(dqa23_)</f>
        <v>674.95163316884339</v>
      </c>
      <c r="J36" s="8" t="s">
        <v>63</v>
      </c>
      <c r="K36">
        <f t="shared" ref="K36:AI36" ca="1" si="26">flt2_*qa2_+lz*wa*flt2_^2/za*(sa-oa/za)</f>
        <v>2.6013789729143031E-7</v>
      </c>
      <c r="L36">
        <f t="shared" ca="1" si="26"/>
        <v>3.2412473029922557E-4</v>
      </c>
      <c r="M36">
        <f t="shared" ca="1" si="26"/>
        <v>5.0716343049230901E-2</v>
      </c>
      <c r="N36">
        <f t="shared" ca="1" si="26"/>
        <v>0.30581529603310298</v>
      </c>
      <c r="O36">
        <f t="shared" ca="1" si="26"/>
        <v>0.54741180150890489</v>
      </c>
      <c r="P36">
        <f t="shared" ca="1" si="26"/>
        <v>0.77001087191140583</v>
      </c>
      <c r="Q36">
        <f t="shared" ca="1" si="26"/>
        <v>0.97822785670007639</v>
      </c>
      <c r="R36">
        <f t="shared" ca="1" si="26"/>
        <v>1.1599008150150576</v>
      </c>
      <c r="S36">
        <f t="shared" ca="1" si="26"/>
        <v>1.3078625367944545</v>
      </c>
      <c r="T36">
        <f t="shared" ca="1" si="26"/>
        <v>1.4138829689050474</v>
      </c>
      <c r="U36">
        <f t="shared" ca="1" si="26"/>
        <v>1.4762614751259122</v>
      </c>
      <c r="V36">
        <f t="shared" ca="1" si="26"/>
        <v>1.4973584916854665</v>
      </c>
      <c r="W36">
        <f t="shared" ca="1" si="26"/>
        <v>1.4811611922733754</v>
      </c>
      <c r="X36">
        <f t="shared" ca="1" si="26"/>
        <v>1.4315206840994665</v>
      </c>
      <c r="Y36">
        <f t="shared" ca="1" si="26"/>
        <v>1.3522353720174189</v>
      </c>
      <c r="Z36">
        <f t="shared" ca="1" si="26"/>
        <v>1.4847812614767868</v>
      </c>
      <c r="AA36">
        <f t="shared" ca="1" si="26"/>
        <v>1.6102613094697769</v>
      </c>
      <c r="AB36">
        <f t="shared" ca="1" si="26"/>
        <v>1.7390591807751892</v>
      </c>
      <c r="AC36">
        <f t="shared" ca="1" si="26"/>
        <v>1.8732023565396243</v>
      </c>
      <c r="AD36">
        <f t="shared" ca="1" si="26"/>
        <v>2.0088452609818819</v>
      </c>
      <c r="AE36">
        <f t="shared" ca="1" si="26"/>
        <v>2.1423250144363415</v>
      </c>
      <c r="AF36">
        <f t="shared" ca="1" si="26"/>
        <v>2.2715838203982712</v>
      </c>
      <c r="AG36">
        <f t="shared" ca="1" si="26"/>
        <v>2.3956680870397795</v>
      </c>
      <c r="AH36">
        <f t="shared" ca="1" si="26"/>
        <v>2.5141887029979668</v>
      </c>
      <c r="AI36">
        <f t="shared" ca="1" si="26"/>
        <v>2.6195072435547577</v>
      </c>
    </row>
    <row r="37" spans="1:35">
      <c r="A37" t="s">
        <v>34</v>
      </c>
      <c r="B37" s="1">
        <f ca="1">SUMPRODUCT(lz,ta2_)</f>
        <v>1.2048936626811084</v>
      </c>
      <c r="C37" s="29">
        <f ca="1">B12/(phi_t2/SUM(B$36:B$38))</f>
        <v>1.2866609746720732</v>
      </c>
      <c r="E37" s="38">
        <f ca="1">C37/AVERAGE(C$36:C$38)</f>
        <v>0.71334379988498275</v>
      </c>
      <c r="G37" s="1">
        <f ca="1">SUM(dqa31_)</f>
        <v>675.64422190623941</v>
      </c>
      <c r="H37" s="1">
        <f ca="1">SUM(dqa32_)</f>
        <v>674.95163316884339</v>
      </c>
      <c r="I37" s="1">
        <f ca="1">SUM(dqa33_)</f>
        <v>382.99856898314886</v>
      </c>
      <c r="J37" s="8" t="s">
        <v>64</v>
      </c>
      <c r="K37">
        <f t="shared" ref="K37:AI37" ca="1" si="27">flt3_*qa3_+lz*wa*flt3_^2/za*(sa-oa/za)</f>
        <v>1.6927985614513127E-11</v>
      </c>
      <c r="L37">
        <f t="shared" ca="1" si="27"/>
        <v>1.6197106517760169E-9</v>
      </c>
      <c r="M37">
        <f t="shared" ca="1" si="27"/>
        <v>6.8707396141270989E-8</v>
      </c>
      <c r="N37">
        <f t="shared" ca="1" si="27"/>
        <v>2.0142340408251765E-6</v>
      </c>
      <c r="O37">
        <f t="shared" ca="1" si="27"/>
        <v>4.8912623262550818E-5</v>
      </c>
      <c r="P37">
        <f t="shared" ca="1" si="27"/>
        <v>6.8028459301726352E-3</v>
      </c>
      <c r="Q37">
        <f t="shared" ca="1" si="27"/>
        <v>2.5168477834942204</v>
      </c>
      <c r="R37">
        <f t="shared" ca="1" si="27"/>
        <v>11.528578973937945</v>
      </c>
      <c r="S37">
        <f t="shared" ca="1" si="27"/>
        <v>17.371080767751259</v>
      </c>
      <c r="T37">
        <f t="shared" ca="1" si="27"/>
        <v>19.663520511262217</v>
      </c>
      <c r="U37">
        <f t="shared" ca="1" si="27"/>
        <v>20.138519996734523</v>
      </c>
      <c r="V37">
        <f t="shared" ca="1" si="27"/>
        <v>19.702023366777958</v>
      </c>
      <c r="W37">
        <f t="shared" ca="1" si="27"/>
        <v>18.718287161579354</v>
      </c>
      <c r="X37">
        <f t="shared" ca="1" si="27"/>
        <v>17.357114474485911</v>
      </c>
      <c r="Y37">
        <f t="shared" ca="1" si="27"/>
        <v>15.72650745787152</v>
      </c>
      <c r="Z37">
        <f t="shared" ca="1" si="27"/>
        <v>17.268017140452216</v>
      </c>
      <c r="AA37">
        <f t="shared" ca="1" si="27"/>
        <v>18.727351034101034</v>
      </c>
      <c r="AB37">
        <f t="shared" ca="1" si="27"/>
        <v>20.225271237608659</v>
      </c>
      <c r="AC37">
        <f t="shared" ca="1" si="27"/>
        <v>21.78535737182553</v>
      </c>
      <c r="AD37">
        <f t="shared" ca="1" si="27"/>
        <v>23.362885361746379</v>
      </c>
      <c r="AE37">
        <f t="shared" ca="1" si="27"/>
        <v>24.91525588955222</v>
      </c>
      <c r="AF37">
        <f t="shared" ca="1" si="27"/>
        <v>26.418536766551547</v>
      </c>
      <c r="AG37">
        <f t="shared" ca="1" si="27"/>
        <v>27.861637712676682</v>
      </c>
      <c r="AH37">
        <f t="shared" ca="1" si="27"/>
        <v>29.240033359876147</v>
      </c>
      <c r="AI37">
        <f t="shared" ca="1" si="27"/>
        <v>30.464888771732038</v>
      </c>
    </row>
    <row r="38" spans="1:35">
      <c r="A38" t="s">
        <v>35</v>
      </c>
      <c r="B38" s="1">
        <f ca="1">SUMPRODUCT(lz,ta3_)</f>
        <v>1.3834719021914379</v>
      </c>
      <c r="C38" s="29">
        <f ca="1">B13/(phi_t3/SUM(B$36:B$38))</f>
        <v>0.36635104042385541</v>
      </c>
      <c r="E38" s="38">
        <f ca="1">C38/AVERAGE(C$36:C$38)</f>
        <v>0.20311041401902724</v>
      </c>
      <c r="G38" t="s">
        <v>69</v>
      </c>
      <c r="J38" s="8" t="s">
        <v>60</v>
      </c>
      <c r="K38">
        <f t="shared" ref="K38:AI38" ca="1" si="28">flt1_*qa1_+lz*wa*flt2_*flt1_/za*(sa-oa/za)</f>
        <v>-9.8720408577265544E-12</v>
      </c>
      <c r="L38">
        <f t="shared" ca="1" si="28"/>
        <v>-1.8474117753479102E-9</v>
      </c>
      <c r="M38">
        <f t="shared" ca="1" si="28"/>
        <v>-8.355429457240536E-8</v>
      </c>
      <c r="N38">
        <f t="shared" ca="1" si="28"/>
        <v>-6.2277596823629028E-7</v>
      </c>
      <c r="O38">
        <f t="shared" ca="1" si="28"/>
        <v>-2.3213760815490454E-6</v>
      </c>
      <c r="P38">
        <f t="shared" ca="1" si="28"/>
        <v>-1.0085951766956413E-5</v>
      </c>
      <c r="Q38">
        <f t="shared" ca="1" si="28"/>
        <v>-1.0248144137206621E-4</v>
      </c>
      <c r="R38">
        <f t="shared" ca="1" si="28"/>
        <v>-3.3066686956696452E-4</v>
      </c>
      <c r="S38">
        <f t="shared" ca="1" si="28"/>
        <v>-8.1788718756418163E-4</v>
      </c>
      <c r="T38">
        <f t="shared" ca="1" si="28"/>
        <v>-1.8048558233019188E-3</v>
      </c>
      <c r="U38">
        <f t="shared" ca="1" si="28"/>
        <v>-2.8076032885719637E-3</v>
      </c>
      <c r="V38">
        <f t="shared" ca="1" si="28"/>
        <v>4.4814435453035401E-3</v>
      </c>
      <c r="W38">
        <f t="shared" ca="1" si="28"/>
        <v>8.6717480129210697E-2</v>
      </c>
      <c r="X38">
        <f t="shared" ca="1" si="28"/>
        <v>0.65731701259093711</v>
      </c>
      <c r="Y38">
        <f t="shared" ca="1" si="28"/>
        <v>3.5409988278642586</v>
      </c>
      <c r="Z38">
        <f t="shared" ca="1" si="28"/>
        <v>12.897696035511339</v>
      </c>
      <c r="AA38">
        <f t="shared" ca="1" si="28"/>
        <v>30.108097214027733</v>
      </c>
      <c r="AB38">
        <f t="shared" ca="1" si="28"/>
        <v>48.554820709785041</v>
      </c>
      <c r="AC38">
        <f t="shared" ca="1" si="28"/>
        <v>62.612348404790382</v>
      </c>
      <c r="AD38">
        <f t="shared" ca="1" si="28"/>
        <v>72.286266447723946</v>
      </c>
      <c r="AE38">
        <f t="shared" ca="1" si="28"/>
        <v>79.331737064822661</v>
      </c>
      <c r="AF38">
        <f t="shared" ca="1" si="28"/>
        <v>85.020353536351635</v>
      </c>
      <c r="AG38">
        <f t="shared" ca="1" si="28"/>
        <v>89.999266057024542</v>
      </c>
      <c r="AH38">
        <f t="shared" ca="1" si="28"/>
        <v>94.559280866045867</v>
      </c>
      <c r="AI38">
        <f t="shared" ca="1" si="28"/>
        <v>98.77872879890046</v>
      </c>
    </row>
    <row r="39" spans="1:35">
      <c r="A39" s="1" t="s">
        <v>36</v>
      </c>
      <c r="B39" s="1">
        <f ca="1">SUMPRODUCT(lz,qa1_)</f>
        <v>14.757223256957923</v>
      </c>
      <c r="C39" s="23">
        <f ca="1">B4/(phi_q1/SUM(B$39:B$41))</f>
        <v>3.0172346991441228</v>
      </c>
      <c r="D39" s="21"/>
      <c r="E39" s="39">
        <f ca="1">C39/AVERAGE(C$39:C$41)</f>
        <v>2.0834514042226919</v>
      </c>
      <c r="G39" s="1">
        <f ca="1">re*phi_q1+f1_*phi_q1*$H31+f1_*re*G35</f>
        <v>1320772.8264246555</v>
      </c>
      <c r="H39" s="1">
        <f ca="1">re*phi_q1+f1_*phi_q1*$H32+f1_*re*H35</f>
        <v>1314663.8761324047</v>
      </c>
      <c r="I39" s="1">
        <f ca="1">re*phi_q1+f1_*phi_q1*$H33+f1_*re*I35</f>
        <v>1290208.7815905521</v>
      </c>
      <c r="J39" s="8" t="s">
        <v>66</v>
      </c>
      <c r="K39">
        <f t="shared" ref="K39:AI39" ca="1" si="29">flt1_*qa1_+lz*wa*flt3_*flt1_/za*(sa-oa/za)</f>
        <v>-7.8834129725980372E-14</v>
      </c>
      <c r="L39">
        <f t="shared" ca="1" si="29"/>
        <v>-4.0950805174312153E-12</v>
      </c>
      <c r="M39">
        <f t="shared" ca="1" si="29"/>
        <v>-9.6568290829011697E-11</v>
      </c>
      <c r="N39">
        <f t="shared" ca="1" si="29"/>
        <v>-1.5887137033795998E-9</v>
      </c>
      <c r="O39">
        <f t="shared" ca="1" si="29"/>
        <v>-2.1830333881083316E-8</v>
      </c>
      <c r="P39">
        <f t="shared" ca="1" si="29"/>
        <v>-9.4593137552435692E-7</v>
      </c>
      <c r="Q39">
        <f t="shared" ca="1" si="29"/>
        <v>-1.6455009024600011E-4</v>
      </c>
      <c r="R39">
        <f t="shared" ca="1" si="29"/>
        <v>-1.0505032299369299E-3</v>
      </c>
      <c r="S39">
        <f t="shared" ca="1" si="29"/>
        <v>-3.065692830917603E-3</v>
      </c>
      <c r="T39">
        <f t="shared" ca="1" si="29"/>
        <v>-7.4469410116895776E-3</v>
      </c>
      <c r="U39">
        <f t="shared" ca="1" si="29"/>
        <v>-1.5934649125722421E-2</v>
      </c>
      <c r="V39">
        <f t="shared" ca="1" si="29"/>
        <v>-2.4778733199188517E-2</v>
      </c>
      <c r="W39">
        <f t="shared" ca="1" si="29"/>
        <v>2.435277412778486E-2</v>
      </c>
      <c r="X39">
        <f t="shared" ca="1" si="29"/>
        <v>0.53367012038154915</v>
      </c>
      <c r="Y39">
        <f t="shared" ca="1" si="29"/>
        <v>3.3263505401456444</v>
      </c>
      <c r="Z39">
        <f t="shared" ca="1" si="29"/>
        <v>12.561457853100517</v>
      </c>
      <c r="AA39">
        <f t="shared" ca="1" si="29"/>
        <v>29.705050117753963</v>
      </c>
      <c r="AB39">
        <f t="shared" ca="1" si="29"/>
        <v>48.170152415378766</v>
      </c>
      <c r="AC39">
        <f t="shared" ca="1" si="29"/>
        <v>62.293520781535037</v>
      </c>
      <c r="AD39">
        <f t="shared" ca="1" si="29"/>
        <v>72.040282243615451</v>
      </c>
      <c r="AE39">
        <f t="shared" ca="1" si="29"/>
        <v>79.148320439961054</v>
      </c>
      <c r="AF39">
        <f t="shared" ca="1" si="29"/>
        <v>84.885897936340427</v>
      </c>
      <c r="AG39">
        <f t="shared" ca="1" si="29"/>
        <v>89.901647039294019</v>
      </c>
      <c r="AH39">
        <f t="shared" ca="1" si="29"/>
        <v>94.488858065961224</v>
      </c>
      <c r="AI39">
        <f t="shared" ca="1" si="29"/>
        <v>98.617103617582771</v>
      </c>
    </row>
    <row r="40" spans="1:35">
      <c r="A40" s="1" t="s">
        <v>37</v>
      </c>
      <c r="B40" s="1">
        <f ca="1">SUMPRODUCT(lz,qa2_)</f>
        <v>16.071946858410968</v>
      </c>
      <c r="C40" s="23">
        <f ca="1">B5/(phi_q2/SUM(B$39:B$41))</f>
        <v>1.0332081871064251</v>
      </c>
      <c r="D40" s="21"/>
      <c r="E40" s="39">
        <f ca="1">C40/AVERAGE(C$39:C$41)</f>
        <v>0.71344766414488303</v>
      </c>
      <c r="G40" s="1">
        <f ca="1">re*phi_q1+f1_*phi_q1*$H32+f1_*re*G36</f>
        <v>1314663.8761324047</v>
      </c>
      <c r="H40" s="1">
        <f ca="1">re*phi_q2+f2_*phi_q2*$H32+f2_*re*H36</f>
        <v>153775.11178592226</v>
      </c>
      <c r="I40" s="1">
        <f ca="1">re*phi_q3+f3_*phi_q3*$H33+f3_*re*I36</f>
        <v>481886.56612544274</v>
      </c>
      <c r="J40" s="8" t="s">
        <v>65</v>
      </c>
      <c r="K40">
        <f t="shared" ref="K40:AI40" ca="1" si="30">flt1_*qa1_+lz*wa*flt1_*flt2_/za*(sa-oa/za)</f>
        <v>-9.8720408577265561E-12</v>
      </c>
      <c r="L40">
        <f t="shared" ca="1" si="30"/>
        <v>-1.8474117753479102E-9</v>
      </c>
      <c r="M40">
        <f t="shared" ca="1" si="30"/>
        <v>-8.3554294572405373E-8</v>
      </c>
      <c r="N40">
        <f t="shared" ca="1" si="30"/>
        <v>-6.2277596823629007E-7</v>
      </c>
      <c r="O40">
        <f t="shared" ca="1" si="30"/>
        <v>-2.3213760815490454E-6</v>
      </c>
      <c r="P40">
        <f t="shared" ca="1" si="30"/>
        <v>-1.0085951766956415E-5</v>
      </c>
      <c r="Q40">
        <f t="shared" ca="1" si="30"/>
        <v>-1.0248144137206621E-4</v>
      </c>
      <c r="R40">
        <f t="shared" ca="1" si="30"/>
        <v>-3.3066686956696452E-4</v>
      </c>
      <c r="S40">
        <f t="shared" ca="1" si="30"/>
        <v>-8.1788718756418163E-4</v>
      </c>
      <c r="T40">
        <f t="shared" ca="1" si="30"/>
        <v>-1.8048558233019188E-3</v>
      </c>
      <c r="U40">
        <f t="shared" ca="1" si="30"/>
        <v>-2.8076032885719629E-3</v>
      </c>
      <c r="V40">
        <f t="shared" ca="1" si="30"/>
        <v>4.4814435453035401E-3</v>
      </c>
      <c r="W40">
        <f t="shared" ca="1" si="30"/>
        <v>8.6717480129210697E-2</v>
      </c>
      <c r="X40">
        <f t="shared" ca="1" si="30"/>
        <v>0.65731701259093711</v>
      </c>
      <c r="Y40">
        <f t="shared" ca="1" si="30"/>
        <v>3.5409988278642586</v>
      </c>
      <c r="Z40">
        <f t="shared" ca="1" si="30"/>
        <v>12.897696035511339</v>
      </c>
      <c r="AA40">
        <f t="shared" ca="1" si="30"/>
        <v>30.108097214027733</v>
      </c>
      <c r="AB40">
        <f t="shared" ca="1" si="30"/>
        <v>48.554820709785041</v>
      </c>
      <c r="AC40">
        <f t="shared" ca="1" si="30"/>
        <v>62.612348404790382</v>
      </c>
      <c r="AD40">
        <f t="shared" ca="1" si="30"/>
        <v>72.286266447723946</v>
      </c>
      <c r="AE40">
        <f t="shared" ca="1" si="30"/>
        <v>79.331737064822661</v>
      </c>
      <c r="AF40">
        <f t="shared" ca="1" si="30"/>
        <v>85.020353536351635</v>
      </c>
      <c r="AG40">
        <f t="shared" ca="1" si="30"/>
        <v>89.999266057024542</v>
      </c>
      <c r="AH40">
        <f t="shared" ca="1" si="30"/>
        <v>94.559280866045867</v>
      </c>
      <c r="AI40">
        <f t="shared" ca="1" si="30"/>
        <v>98.77872879890046</v>
      </c>
    </row>
    <row r="41" spans="1:35">
      <c r="A41" s="1" t="s">
        <v>38</v>
      </c>
      <c r="B41" s="1">
        <f ca="1">SUMPRODUCT(lz,qa3_)</f>
        <v>42.929227662908318</v>
      </c>
      <c r="C41" s="23">
        <f ca="1">B6/(phi_q3/SUM(B$39:B$41))</f>
        <v>0.29412885614122652</v>
      </c>
      <c r="D41" s="21"/>
      <c r="E41" s="39">
        <f ca="1">C41/AVERAGE(C$39:C$41)</f>
        <v>0.20310093163242549</v>
      </c>
      <c r="G41" s="1">
        <f ca="1">re*phi_q1+f1_*phi_q1*$H33+f1_*re*G37</f>
        <v>1290208.7815905521</v>
      </c>
      <c r="H41" s="1">
        <f ca="1">re*phi_q3+f3_*phi_q3*$H33+f3_*re*H37</f>
        <v>481886.56612544262</v>
      </c>
      <c r="I41" s="1">
        <f ca="1">re*phi_q3+f1_*phi_q3*$H33+f3_*re*I37</f>
        <v>322454.73143441591</v>
      </c>
      <c r="J41" s="8" t="s">
        <v>67</v>
      </c>
      <c r="K41">
        <f t="shared" ref="K41:AI41" ca="1" si="31">flt1_*qa1_+lz*wa*flt3_*flt2_/za*(sa-oa/za)</f>
        <v>-1.9960207369288412E-9</v>
      </c>
      <c r="L41">
        <f t="shared" ca="1" si="31"/>
        <v>-5.2325764755252904E-7</v>
      </c>
      <c r="M41">
        <f t="shared" ca="1" si="31"/>
        <v>-3.3077925887090625E-5</v>
      </c>
      <c r="N41">
        <f t="shared" ca="1" si="31"/>
        <v>-3.4164269080365741E-4</v>
      </c>
      <c r="O41">
        <f t="shared" ca="1" si="31"/>
        <v>-1.7613774323608482E-3</v>
      </c>
      <c r="P41">
        <f t="shared" ca="1" si="31"/>
        <v>-1.9571091523701328E-2</v>
      </c>
      <c r="Q41">
        <f t="shared" ca="1" si="31"/>
        <v>-0.34071902528139736</v>
      </c>
      <c r="R41">
        <f t="shared" ca="1" si="31"/>
        <v>-0.63734035693237634</v>
      </c>
      <c r="S41">
        <f t="shared" ca="1" si="31"/>
        <v>-0.66739228742009549</v>
      </c>
      <c r="T41">
        <f t="shared" ca="1" si="31"/>
        <v>-0.59682932844212344</v>
      </c>
      <c r="U41">
        <f t="shared" ca="1" si="31"/>
        <v>-0.50080169747822312</v>
      </c>
      <c r="V41">
        <f t="shared" ca="1" si="31"/>
        <v>-0.39459193219664224</v>
      </c>
      <c r="W41">
        <f t="shared" ca="1" si="31"/>
        <v>-0.21534419962068976</v>
      </c>
      <c r="X41">
        <f t="shared" ca="1" si="31"/>
        <v>0.45414198781122078</v>
      </c>
      <c r="Y41">
        <f t="shared" ca="1" si="31"/>
        <v>3.4409298738815104</v>
      </c>
      <c r="Z41">
        <f t="shared" ca="1" si="31"/>
        <v>12.874082909126662</v>
      </c>
      <c r="AA41">
        <f t="shared" ca="1" si="31"/>
        <v>30.142215869169515</v>
      </c>
      <c r="AB41">
        <f t="shared" ca="1" si="31"/>
        <v>48.610686030991488</v>
      </c>
      <c r="AC41">
        <f t="shared" ca="1" si="31"/>
        <v>62.666205732569594</v>
      </c>
      <c r="AD41">
        <f t="shared" ca="1" si="31"/>
        <v>72.330098139525859</v>
      </c>
      <c r="AE41">
        <f t="shared" ca="1" si="31"/>
        <v>79.365084415708807</v>
      </c>
      <c r="AF41">
        <f t="shared" ca="1" si="31"/>
        <v>85.044989542441257</v>
      </c>
      <c r="AG41">
        <f t="shared" ca="1" si="31"/>
        <v>90.017206505911119</v>
      </c>
      <c r="AH41">
        <f t="shared" ca="1" si="31"/>
        <v>94.572238311213027</v>
      </c>
      <c r="AI41">
        <f t="shared" ca="1" si="31"/>
        <v>98.808480392691138</v>
      </c>
    </row>
    <row r="42" spans="1:35">
      <c r="A42" s="1" t="s">
        <v>96</v>
      </c>
      <c r="B42" s="1">
        <f ca="1">SUMPRODUCT(lz/SUM(lz),len,ta1_)</f>
        <v>4.6223441538350176</v>
      </c>
      <c r="J42" s="8" t="s">
        <v>68</v>
      </c>
      <c r="K42">
        <f t="shared" ref="K42:AI42" ca="1" si="32">flt1_*qa1_+lz*wa*flt1_*flt3_/za*(sa-oa/za)</f>
        <v>-7.8834129725980372E-14</v>
      </c>
      <c r="L42">
        <f t="shared" ca="1" si="32"/>
        <v>-4.0950805174312153E-12</v>
      </c>
      <c r="M42">
        <f t="shared" ca="1" si="32"/>
        <v>-9.656829082901171E-11</v>
      </c>
      <c r="N42">
        <f t="shared" ca="1" si="32"/>
        <v>-1.5887137033795998E-9</v>
      </c>
      <c r="O42">
        <f t="shared" ca="1" si="32"/>
        <v>-2.1830333881083316E-8</v>
      </c>
      <c r="P42">
        <f t="shared" ca="1" si="32"/>
        <v>-9.4593137552435692E-7</v>
      </c>
      <c r="Q42">
        <f t="shared" ca="1" si="32"/>
        <v>-1.6455009024600011E-4</v>
      </c>
      <c r="R42">
        <f t="shared" ca="1" si="32"/>
        <v>-1.0505032299369297E-3</v>
      </c>
      <c r="S42">
        <f t="shared" ca="1" si="32"/>
        <v>-3.065692830917603E-3</v>
      </c>
      <c r="T42">
        <f t="shared" ca="1" si="32"/>
        <v>-7.4469410116895776E-3</v>
      </c>
      <c r="U42">
        <f t="shared" ca="1" si="32"/>
        <v>-1.5934649125722421E-2</v>
      </c>
      <c r="V42">
        <f t="shared" ca="1" si="32"/>
        <v>-2.4778733199188517E-2</v>
      </c>
      <c r="W42">
        <f t="shared" ca="1" si="32"/>
        <v>2.435277412778486E-2</v>
      </c>
      <c r="X42">
        <f t="shared" ca="1" si="32"/>
        <v>0.53367012038154926</v>
      </c>
      <c r="Y42">
        <f t="shared" ca="1" si="32"/>
        <v>3.3263505401456444</v>
      </c>
      <c r="Z42">
        <f t="shared" ca="1" si="32"/>
        <v>12.561457853100517</v>
      </c>
      <c r="AA42">
        <f t="shared" ca="1" si="32"/>
        <v>29.705050117753963</v>
      </c>
      <c r="AB42">
        <f t="shared" ca="1" si="32"/>
        <v>48.170152415378766</v>
      </c>
      <c r="AC42">
        <f t="shared" ca="1" si="32"/>
        <v>62.293520781535037</v>
      </c>
      <c r="AD42">
        <f t="shared" ca="1" si="32"/>
        <v>72.040282243615451</v>
      </c>
      <c r="AE42">
        <f t="shared" ca="1" si="32"/>
        <v>79.148320439961054</v>
      </c>
      <c r="AF42">
        <f t="shared" ca="1" si="32"/>
        <v>84.885897936340427</v>
      </c>
      <c r="AG42">
        <f t="shared" ca="1" si="32"/>
        <v>89.901647039294019</v>
      </c>
      <c r="AH42">
        <f t="shared" ca="1" si="32"/>
        <v>94.488858065961224</v>
      </c>
      <c r="AI42">
        <f t="shared" ca="1" si="32"/>
        <v>98.617103617582771</v>
      </c>
    </row>
    <row r="43" spans="1:35">
      <c r="A43" s="1"/>
      <c r="B43" s="1"/>
      <c r="J43" s="8" t="s">
        <v>61</v>
      </c>
      <c r="K43">
        <f t="shared" ref="K43:AI43" ca="1" si="33">flt1_*qa1_+lz*wa*flt2_*flt3_/za*(sa-oa/za)</f>
        <v>-1.9960207369288412E-9</v>
      </c>
      <c r="L43">
        <f t="shared" ca="1" si="33"/>
        <v>-5.2325764755252904E-7</v>
      </c>
      <c r="M43">
        <f t="shared" ca="1" si="33"/>
        <v>-3.3077925887090625E-5</v>
      </c>
      <c r="N43">
        <f t="shared" ca="1" si="33"/>
        <v>-3.4164269080365741E-4</v>
      </c>
      <c r="O43">
        <f t="shared" ca="1" si="33"/>
        <v>-1.7613774323608482E-3</v>
      </c>
      <c r="P43">
        <f t="shared" ca="1" si="33"/>
        <v>-1.9571091523701328E-2</v>
      </c>
      <c r="Q43">
        <f t="shared" ca="1" si="33"/>
        <v>-0.34071902528139736</v>
      </c>
      <c r="R43">
        <f t="shared" ca="1" si="33"/>
        <v>-0.63734035693237634</v>
      </c>
      <c r="S43">
        <f t="shared" ca="1" si="33"/>
        <v>-0.66739228742009549</v>
      </c>
      <c r="T43">
        <f t="shared" ca="1" si="33"/>
        <v>-0.59682932844212344</v>
      </c>
      <c r="U43">
        <f t="shared" ca="1" si="33"/>
        <v>-0.50080169747822312</v>
      </c>
      <c r="V43">
        <f t="shared" ca="1" si="33"/>
        <v>-0.39459193219664218</v>
      </c>
      <c r="W43">
        <f t="shared" ca="1" si="33"/>
        <v>-0.21534419962068982</v>
      </c>
      <c r="X43">
        <f t="shared" ca="1" si="33"/>
        <v>0.45414198781122078</v>
      </c>
      <c r="Y43">
        <f t="shared" ca="1" si="33"/>
        <v>3.4409298738815104</v>
      </c>
      <c r="Z43">
        <f t="shared" ca="1" si="33"/>
        <v>12.874082909126662</v>
      </c>
      <c r="AA43">
        <f t="shared" ca="1" si="33"/>
        <v>30.142215869169515</v>
      </c>
      <c r="AB43">
        <f t="shared" ca="1" si="33"/>
        <v>48.610686030991488</v>
      </c>
      <c r="AC43">
        <f t="shared" ca="1" si="33"/>
        <v>62.666205732569594</v>
      </c>
      <c r="AD43">
        <f t="shared" ca="1" si="33"/>
        <v>72.330098139525859</v>
      </c>
      <c r="AE43">
        <f t="shared" ca="1" si="33"/>
        <v>79.365084415708807</v>
      </c>
      <c r="AF43">
        <f t="shared" ca="1" si="33"/>
        <v>85.044989542441257</v>
      </c>
      <c r="AG43">
        <f t="shared" ca="1" si="33"/>
        <v>90.017206505911119</v>
      </c>
      <c r="AH43">
        <f t="shared" ca="1" si="33"/>
        <v>94.572238311213027</v>
      </c>
      <c r="AI43">
        <f t="shared" ca="1" si="33"/>
        <v>98.808480392691138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0.39999999999413338</v>
      </c>
      <c r="G46" s="32" t="s">
        <v>94</v>
      </c>
      <c r="H46" s="32"/>
      <c r="I46" s="32"/>
      <c r="J46" s="8" t="s">
        <v>75</v>
      </c>
      <c r="K46">
        <f t="shared" ref="K46:AI46" ca="1" si="34">lz*qa1_</f>
        <v>7.2554664151894655E-9</v>
      </c>
      <c r="L46">
        <f t="shared" ca="1" si="34"/>
        <v>1.0508470512408136E-7</v>
      </c>
      <c r="M46">
        <f t="shared" ca="1" si="34"/>
        <v>6.9423600150247879E-7</v>
      </c>
      <c r="N46">
        <f t="shared" ca="1" si="34"/>
        <v>3.2260309537090776E-6</v>
      </c>
      <c r="O46">
        <f t="shared" ca="1" si="34"/>
        <v>1.2423537556785031E-5</v>
      </c>
      <c r="P46">
        <f t="shared" ca="1" si="34"/>
        <v>5.8756357766202024E-5</v>
      </c>
      <c r="Q46">
        <f t="shared" ca="1" si="34"/>
        <v>6.5298216312397134E-4</v>
      </c>
      <c r="R46">
        <f t="shared" ca="1" si="34"/>
        <v>2.3183529104210182E-3</v>
      </c>
      <c r="S46">
        <f t="shared" ca="1" si="34"/>
        <v>6.4221546040079359E-3</v>
      </c>
      <c r="T46">
        <f t="shared" ca="1" si="34"/>
        <v>1.7015403329157335E-2</v>
      </c>
      <c r="U46">
        <f t="shared" ca="1" si="34"/>
        <v>4.3703697819971597E-2</v>
      </c>
      <c r="V46">
        <f t="shared" ca="1" si="34"/>
        <v>0.10883049589091366</v>
      </c>
      <c r="W46">
        <f t="shared" ca="1" si="34"/>
        <v>0.26012553487028373</v>
      </c>
      <c r="X46">
        <f t="shared" ca="1" si="34"/>
        <v>0.57974657492747239</v>
      </c>
      <c r="Y46">
        <f t="shared" ca="1" si="34"/>
        <v>1.1346400038664028</v>
      </c>
      <c r="Z46">
        <f t="shared" ca="1" si="34"/>
        <v>1.7907762061120536</v>
      </c>
      <c r="AA46">
        <f t="shared" ca="1" si="34"/>
        <v>2.1636058761413919</v>
      </c>
      <c r="AB46">
        <f t="shared" ca="1" si="34"/>
        <v>2.0765113664413013</v>
      </c>
      <c r="AC46">
        <f t="shared" ca="1" si="34"/>
        <v>1.7261636392373338</v>
      </c>
      <c r="AD46">
        <f t="shared" ca="1" si="34"/>
        <v>1.3335326530526204</v>
      </c>
      <c r="AE46">
        <f t="shared" ca="1" si="34"/>
        <v>0.99487992609842046</v>
      </c>
      <c r="AF46">
        <f t="shared" ca="1" si="34"/>
        <v>0.72946580359094759</v>
      </c>
      <c r="AG46">
        <f t="shared" ca="1" si="34"/>
        <v>0.52966039543327414</v>
      </c>
      <c r="AH46">
        <f t="shared" ca="1" si="34"/>
        <v>0.38211210680589736</v>
      </c>
      <c r="AI46">
        <f t="shared" ca="1" si="34"/>
        <v>0.87698487116048007</v>
      </c>
    </row>
    <row r="47" spans="1:35" ht="19" thickTop="1">
      <c r="A47" s="1" t="s">
        <v>41</v>
      </c>
      <c r="B47" s="11">
        <f ca="1">MAX(0,Ro*(reck-1/spr)/(reck-1))</f>
        <v>8771.7289435556595</v>
      </c>
      <c r="F47" t="s">
        <v>84</v>
      </c>
      <c r="G47" s="31">
        <f ca="1">G39/G53</f>
        <v>1</v>
      </c>
      <c r="H47" s="31">
        <f ca="1">H53/H39</f>
        <v>0.34280121977154437</v>
      </c>
      <c r="I47" s="31">
        <f ca="1">I53/I39</f>
        <v>0.50581120514776712</v>
      </c>
      <c r="J47" s="8" t="s">
        <v>76</v>
      </c>
      <c r="K47">
        <f t="shared" ref="K47:AI47" ca="1" si="35">lz*qa2_</f>
        <v>1.8183908643624625E-4</v>
      </c>
      <c r="L47">
        <f t="shared" ca="1" si="35"/>
        <v>1.331436953909345E-2</v>
      </c>
      <c r="M47">
        <f t="shared" ca="1" si="35"/>
        <v>0.23612680898580687</v>
      </c>
      <c r="N47">
        <f t="shared" ca="1" si="35"/>
        <v>0.68956747265436713</v>
      </c>
      <c r="O47">
        <f t="shared" ca="1" si="35"/>
        <v>0.99718909718097293</v>
      </c>
      <c r="P47">
        <f t="shared" ca="1" si="35"/>
        <v>1.2127110140630568</v>
      </c>
      <c r="Q47">
        <f t="shared" ca="1" si="35"/>
        <v>1.3497866436986345</v>
      </c>
      <c r="R47">
        <f t="shared" ca="1" si="35"/>
        <v>1.4015809355161237</v>
      </c>
      <c r="S47">
        <f t="shared" ca="1" si="35"/>
        <v>1.3836542743596278</v>
      </c>
      <c r="T47">
        <f t="shared" ca="1" si="35"/>
        <v>1.31785115750722</v>
      </c>
      <c r="U47">
        <f t="shared" ca="1" si="35"/>
        <v>1.2209044012253607</v>
      </c>
      <c r="V47">
        <f t="shared" ca="1" si="35"/>
        <v>1.1051203386049999</v>
      </c>
      <c r="W47">
        <f t="shared" ca="1" si="35"/>
        <v>0.97867213331014624</v>
      </c>
      <c r="X47">
        <f t="shared" ca="1" si="35"/>
        <v>0.84554554100937962</v>
      </c>
      <c r="Y47">
        <f t="shared" ca="1" si="35"/>
        <v>0.70657039355245999</v>
      </c>
      <c r="Z47">
        <f t="shared" ca="1" si="35"/>
        <v>0.61399557852356701</v>
      </c>
      <c r="AA47">
        <f t="shared" ca="1" si="35"/>
        <v>0.50498957879921269</v>
      </c>
      <c r="AB47">
        <f t="shared" ca="1" si="35"/>
        <v>0.3957563497645103</v>
      </c>
      <c r="AC47">
        <f t="shared" ca="1" si="35"/>
        <v>0.30007893869661628</v>
      </c>
      <c r="AD47">
        <f t="shared" ca="1" si="35"/>
        <v>0.22309014460005663</v>
      </c>
      <c r="AE47">
        <f t="shared" ca="1" si="35"/>
        <v>0.16388854313838247</v>
      </c>
      <c r="AF47">
        <f t="shared" ca="1" si="35"/>
        <v>0.11943642545586118</v>
      </c>
      <c r="AG47">
        <f t="shared" ca="1" si="35"/>
        <v>8.6515207714483636E-2</v>
      </c>
      <c r="AH47">
        <f t="shared" ca="1" si="35"/>
        <v>6.2356536401850703E-2</v>
      </c>
      <c r="AI47">
        <f t="shared" ca="1" si="35"/>
        <v>0.14306313502273663</v>
      </c>
    </row>
    <row r="48" spans="1:35">
      <c r="A48" s="1" t="s">
        <v>43</v>
      </c>
      <c r="B48" s="1">
        <f ca="1">f1_*re*phi_q1</f>
        <v>26258.090143016714</v>
      </c>
      <c r="C48" s="20">
        <f ca="1">ye_1/SUM(ye_1,ye_2,ye_3)</f>
        <v>0.60367371601208453</v>
      </c>
      <c r="F48" t="s">
        <v>85</v>
      </c>
      <c r="G48" s="31">
        <f ca="1">G40/G54</f>
        <v>2.9171424788582656</v>
      </c>
      <c r="H48" s="31">
        <f t="shared" ref="H48:I49" ca="1" si="36">H40/H54</f>
        <v>0.99999999999999978</v>
      </c>
      <c r="I48" s="31">
        <f ca="1">I54/I40</f>
        <v>0.46209639800430419</v>
      </c>
      <c r="J48" s="8" t="s">
        <v>77</v>
      </c>
      <c r="K48">
        <f t="shared" ref="K48:AI48" ca="1" si="37">lz*qa3_</f>
        <v>1.4668579829522115E-6</v>
      </c>
      <c r="L48">
        <f t="shared" ca="1" si="37"/>
        <v>2.9763448007352424E-5</v>
      </c>
      <c r="M48">
        <f t="shared" ca="1" si="37"/>
        <v>2.7483565738827952E-4</v>
      </c>
      <c r="N48">
        <f t="shared" ca="1" si="37"/>
        <v>1.7697101065983092E-3</v>
      </c>
      <c r="O48">
        <f t="shared" ca="1" si="37"/>
        <v>9.4260756550063416E-3</v>
      </c>
      <c r="P48">
        <f t="shared" ca="1" si="37"/>
        <v>0.11398670795552367</v>
      </c>
      <c r="Q48">
        <f t="shared" ca="1" si="37"/>
        <v>2.1650782080645254</v>
      </c>
      <c r="R48">
        <f t="shared" ca="1" si="37"/>
        <v>4.4187114698844452</v>
      </c>
      <c r="S48">
        <f t="shared" ca="1" si="37"/>
        <v>5.0426631580854782</v>
      </c>
      <c r="T48">
        <f t="shared" ca="1" si="37"/>
        <v>4.9146236763790672</v>
      </c>
      <c r="U48">
        <f t="shared" ca="1" si="37"/>
        <v>4.5093484046551575</v>
      </c>
      <c r="V48">
        <f t="shared" ca="1" si="37"/>
        <v>4.0086864833242934</v>
      </c>
      <c r="W48">
        <f t="shared" ca="1" si="37"/>
        <v>3.479117632155496</v>
      </c>
      <c r="X48">
        <f t="shared" ca="1" si="37"/>
        <v>2.9442653892964277</v>
      </c>
      <c r="Y48">
        <f t="shared" ca="1" si="37"/>
        <v>2.4096026514229516</v>
      </c>
      <c r="Z48">
        <f t="shared" ca="1" si="37"/>
        <v>2.09389664140026</v>
      </c>
      <c r="AA48">
        <f t="shared" ca="1" si="37"/>
        <v>1.7221556961899478</v>
      </c>
      <c r="AB48">
        <f t="shared" ca="1" si="37"/>
        <v>1.3496398354812056</v>
      </c>
      <c r="AC48">
        <f t="shared" ca="1" si="37"/>
        <v>1.0233531052498972</v>
      </c>
      <c r="AD48">
        <f t="shared" ca="1" si="37"/>
        <v>0.7607997856121812</v>
      </c>
      <c r="AE48">
        <f t="shared" ca="1" si="37"/>
        <v>0.55890576747576515</v>
      </c>
      <c r="AF48">
        <f t="shared" ca="1" si="37"/>
        <v>0.40731161407423894</v>
      </c>
      <c r="AG48">
        <f t="shared" ca="1" si="37"/>
        <v>0.29504105436558931</v>
      </c>
      <c r="AH48">
        <f t="shared" ca="1" si="37"/>
        <v>0.21265322863587471</v>
      </c>
      <c r="AI48">
        <f t="shared" ca="1" si="37"/>
        <v>0.48788530147502052</v>
      </c>
    </row>
    <row r="49" spans="1:47">
      <c r="A49" s="1" t="s">
        <v>44</v>
      </c>
      <c r="B49" s="1">
        <f ca="1">f2_*re*phi_q2</f>
        <v>9792.7737391280243</v>
      </c>
      <c r="C49" s="20">
        <f ca="1">ye_2/SUM(ye_1,ye_2,ye_3)</f>
        <v>0.22513595166163136</v>
      </c>
      <c r="F49" t="s">
        <v>86</v>
      </c>
      <c r="G49" s="31">
        <f ca="1">G41/G55</f>
        <v>1.9770222364051053</v>
      </c>
      <c r="H49" s="31">
        <f t="shared" ca="1" si="36"/>
        <v>2.1640506273556483</v>
      </c>
      <c r="I49" s="31">
        <f t="shared" ca="1" si="36"/>
        <v>0.99999999999999967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7446.2926885929983</v>
      </c>
      <c r="C50" s="20">
        <f ca="1">ye_3/SUM(ye_1,ye_2,ye_3)</f>
        <v>0.17119033232628394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43497.156570737738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1149.2488096250765</v>
      </c>
      <c r="H52" s="57">
        <f ca="1">H40^0.5</f>
        <v>392.14169860641226</v>
      </c>
      <c r="I52" s="11">
        <f ca="1">I41^0.5</f>
        <v>567.85097643168308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2.9934908285450144</v>
      </c>
      <c r="C53">
        <f ca="1">AVERAGE(B53:B55)/B53</f>
        <v>0.55217466736063847</v>
      </c>
      <c r="G53">
        <f ca="1">G$52*$J53</f>
        <v>1320772.8264246555</v>
      </c>
      <c r="H53">
        <f t="shared" ref="H53:I53" ca="1" si="38">H$52*$J53</f>
        <v>450668.38032777485</v>
      </c>
      <c r="I53">
        <f t="shared" ca="1" si="38"/>
        <v>652602.05870854913</v>
      </c>
      <c r="J53">
        <f t="array" aca="1" ref="J53:J55" ca="1">TRANSPOSE(G52:I52)</f>
        <v>1149.2488096250765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1.116401772346431</v>
      </c>
      <c r="C54">
        <f ca="1">AVERAGE(B53:B55)/B54</f>
        <v>1.4805868670602971</v>
      </c>
      <c r="G54">
        <f t="shared" ref="G54:I55" ca="1" si="39">G$52*$J54</f>
        <v>450668.38032777485</v>
      </c>
      <c r="H54">
        <f t="shared" ca="1" si="39"/>
        <v>153775.11178592229</v>
      </c>
      <c r="I54">
        <f ca="1">I$52*$J54</f>
        <v>222678.04645322997</v>
      </c>
      <c r="J54">
        <f ca="1"/>
        <v>392.14169860641226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0.84889680660545019</v>
      </c>
      <c r="C55">
        <f ca="1">AVERAGE(B53:B55)/B55</f>
        <v>1.9471504541390188</v>
      </c>
      <c r="G55">
        <f t="shared" ca="1" si="39"/>
        <v>652602.05870854913</v>
      </c>
      <c r="H55">
        <f t="shared" ca="1" si="39"/>
        <v>222678.04645322997</v>
      </c>
      <c r="I55">
        <f t="shared" ca="1" si="39"/>
        <v>322454.73143441591</v>
      </c>
      <c r="J55">
        <f ca="1"/>
        <v>567.85097643168308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3.9070928315399996E-2</v>
      </c>
      <c r="C56">
        <f ca="1">AVERAGE(B56:B58)/B56</f>
        <v>1.280776661732711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8.3695238190898719E-2</v>
      </c>
      <c r="C57">
        <f ca="1">AVERAGE(B56:B58)/B57</f>
        <v>0.59789701565169417</v>
      </c>
      <c r="G57">
        <f t="array" aca="1" ref="G57:I59" ca="1">MMULT($G$52:$I$52,TRANSPOSE($G$52:$I$52))</f>
        <v>1797002.6696449937</v>
      </c>
      <c r="H57">
        <f ca="1"/>
        <v>1797002.6696449937</v>
      </c>
      <c r="I57">
        <f ca="1"/>
        <v>1797002.6696449937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2.7357232909489427E-2</v>
      </c>
      <c r="C58">
        <f ca="1">AVERAGE(B56:B58)/B58</f>
        <v>1.8291737802633627</v>
      </c>
      <c r="G58">
        <f ca="1"/>
        <v>1797002.6696449937</v>
      </c>
      <c r="H58">
        <f ca="1"/>
        <v>1797002.6696449937</v>
      </c>
      <c r="I58">
        <f ca="1"/>
        <v>1797002.6696449937</v>
      </c>
      <c r="AL58" s="31"/>
      <c r="AM58" s="31"/>
      <c r="AN58" s="31"/>
      <c r="AO58" s="31"/>
      <c r="AP58" s="31"/>
    </row>
    <row r="59" spans="1:47">
      <c r="G59">
        <f ca="1"/>
        <v>1797002.6696449937</v>
      </c>
      <c r="H59">
        <f ca="1"/>
        <v>1797002.6696449937</v>
      </c>
      <c r="I59">
        <f ca="1"/>
        <v>1797002.6696449937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76.616833989202036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13.33889234892974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31.030068333811371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(1)'!K18:AI18</xm:f>
              <xm:sqref>J18</xm:sqref>
            </x14:sparkline>
            <x14:sparkline>
              <xm:f>'Reduce DMR (1)'!K19:AI19</xm:f>
              <xm:sqref>J19</xm:sqref>
            </x14:sparkline>
            <x14:sparkline>
              <xm:f>'Reduce DMR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(1)'!K46:AI46</xm:f>
              <xm:sqref>J46</xm:sqref>
            </x14:sparkline>
            <x14:sparkline>
              <xm:f>'Reduce DMR (1)'!K47:AI47</xm:f>
              <xm:sqref>J47</xm:sqref>
            </x14:sparkline>
            <x14:sparkline>
              <xm:f>'Reduce DMR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0.60369779809939295</v>
      </c>
      <c r="E4" s="47">
        <v>24977</v>
      </c>
      <c r="F4" s="47">
        <f ca="1">ye_1</f>
        <v>26259.691351453261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0.22510409030442868</v>
      </c>
      <c r="E5" s="47">
        <v>9315</v>
      </c>
      <c r="F5" s="47">
        <f ca="1">ye_2</f>
        <v>9791.5943241037676</v>
      </c>
      <c r="J5" t="s">
        <v>3</v>
      </c>
      <c r="K5" s="9">
        <f>0.00000692*len^3.24</f>
        <v>7.0158553546955618E-2</v>
      </c>
      <c r="L5" s="9">
        <f>0.00000692*len^3.24</f>
        <v>0.46238682351281868</v>
      </c>
      <c r="M5" s="9">
        <f>0.00000692*len^3.24</f>
        <v>1.4016693105158124</v>
      </c>
      <c r="N5" s="9">
        <f>0.00000692*len^3.24</f>
        <v>3.0263235000724551</v>
      </c>
      <c r="O5" s="9">
        <f>0.00000692*len^3.24</f>
        <v>5.3989138613447478</v>
      </c>
      <c r="P5" s="9">
        <f>0.00000692*len^3.24</f>
        <v>8.5235871881960321</v>
      </c>
      <c r="Q5" s="9">
        <f>0.00000692*len^3.24</f>
        <v>12.362641181768007</v>
      </c>
      <c r="R5" s="9">
        <f>0.00000692*len^3.24</f>
        <v>16.850499568231225</v>
      </c>
      <c r="S5" s="9">
        <f>0.00000692*len^3.24</f>
        <v>21.904807515591521</v>
      </c>
      <c r="T5" s="9">
        <f>0.00000692*len^3.24</f>
        <v>27.434883404502997</v>
      </c>
      <c r="U5" s="9">
        <f>0.00000692*len^3.24</f>
        <v>33.347926709886231</v>
      </c>
      <c r="V5" s="9">
        <f>0.00000692*len^3.24</f>
        <v>39.553403570181338</v>
      </c>
      <c r="W5" s="9">
        <f>0.00000692*len^3.24</f>
        <v>45.965996898027832</v>
      </c>
      <c r="X5" s="9">
        <f>0.00000692*len^3.24</f>
        <v>52.507453509450855</v>
      </c>
      <c r="Y5" s="9">
        <f>0.00000692*len^3.24</f>
        <v>59.107603219100518</v>
      </c>
      <c r="Z5" s="9">
        <f>0.00000692*len^3.24</f>
        <v>65.704771366005971</v>
      </c>
      <c r="AA5" s="9">
        <f>0.00000692*len^3.24</f>
        <v>72.245759564237062</v>
      </c>
      <c r="AB5" s="9">
        <f>0.00000692*len^3.24</f>
        <v>78.685530247837576</v>
      </c>
      <c r="AC5" s="9">
        <f>0.00000692*len^3.24</f>
        <v>84.986698433372865</v>
      </c>
      <c r="AD5" s="9">
        <f>0.00000692*len^3.24</f>
        <v>91.118908268394236</v>
      </c>
      <c r="AE5" s="9">
        <f>0.00000692*len^3.24</f>
        <v>97.058151452529373</v>
      </c>
      <c r="AF5" s="9">
        <f>0.00000692*len^3.24</f>
        <v>102.78606860782043</v>
      </c>
      <c r="AG5" s="9">
        <f>0.00000692*len^3.24</f>
        <v>108.28926231630099</v>
      </c>
      <c r="AH5" s="9">
        <f>0.00000692*len^3.24</f>
        <v>113.55864112278009</v>
      </c>
      <c r="AI5" s="9">
        <f>0.00000692*len^3.24</f>
        <v>118.58880671719038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0.17119811159617829</v>
      </c>
      <c r="E6" s="47">
        <v>7083</v>
      </c>
      <c r="F6" s="47">
        <f ca="1">ye_3</f>
        <v>7446.788086060129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0.40000002582707234</v>
      </c>
      <c r="J7" t="s">
        <v>7</v>
      </c>
      <c r="K7" s="1">
        <f>1</f>
        <v>1</v>
      </c>
      <c r="L7" s="1">
        <f ca="1">K7*EXP(-K8)</f>
        <v>0.86054072522485958</v>
      </c>
      <c r="M7" s="1">
        <f t="shared" ref="M7:AH7" ca="1" si="3">L7*EXP(-L8)</f>
        <v>0.7388194333367708</v>
      </c>
      <c r="N7" s="1">
        <f t="shared" ca="1" si="3"/>
        <v>0.62506173308933266</v>
      </c>
      <c r="O7" s="1">
        <f t="shared" ca="1" si="3"/>
        <v>0.52332146063507001</v>
      </c>
      <c r="P7" s="1">
        <f t="shared" ca="1" si="3"/>
        <v>0.43850825541741778</v>
      </c>
      <c r="Q7" s="1">
        <f t="shared" ca="1" si="3"/>
        <v>0.36802491882346716</v>
      </c>
      <c r="R7" s="1">
        <f t="shared" ca="1" si="3"/>
        <v>0.30651745134038322</v>
      </c>
      <c r="S7" s="1">
        <f t="shared" ca="1" si="3"/>
        <v>0.25363993338230634</v>
      </c>
      <c r="T7" s="1">
        <f t="shared" ca="1" si="3"/>
        <v>0.20997277604339626</v>
      </c>
      <c r="U7" s="1">
        <f t="shared" ca="1" si="3"/>
        <v>0.1742356966076411</v>
      </c>
      <c r="V7" s="1">
        <f t="shared" ca="1" si="3"/>
        <v>0.14488635982049913</v>
      </c>
      <c r="W7" s="1">
        <f t="shared" ca="1" si="3"/>
        <v>0.12053287530951858</v>
      </c>
      <c r="X7" s="1">
        <f t="shared" ca="1" si="3"/>
        <v>9.9923275868277636E-2</v>
      </c>
      <c r="Y7" s="1">
        <f t="shared" ca="1" si="3"/>
        <v>8.1866679559161992E-2</v>
      </c>
      <c r="Z7" s="1">
        <f t="shared" ca="1" si="3"/>
        <v>6.5341782689870204E-2</v>
      </c>
      <c r="AA7" s="1">
        <f t="shared" ca="1" si="3"/>
        <v>4.9938980102387093E-2</v>
      </c>
      <c r="AB7" s="1">
        <f t="shared" ca="1" si="3"/>
        <v>3.647813376492752E-2</v>
      </c>
      <c r="AC7" s="1">
        <f t="shared" ca="1" si="3"/>
        <v>2.5810410494740817E-2</v>
      </c>
      <c r="AD7" s="1">
        <f t="shared" ca="1" si="3"/>
        <v>1.7959509294974686E-2</v>
      </c>
      <c r="AE7" s="1">
        <f t="shared" ca="1" si="3"/>
        <v>1.240389768858891E-2</v>
      </c>
      <c r="AF7" s="1">
        <f t="shared" ca="1" si="3"/>
        <v>8.5405671630653397E-3</v>
      </c>
      <c r="AG7" s="1">
        <f t="shared" ca="1" si="3"/>
        <v>5.8732995075830895E-3</v>
      </c>
      <c r="AH7" s="1">
        <f t="shared" ca="1" si="3"/>
        <v>4.0370840572059525E-3</v>
      </c>
      <c r="AI7" s="1">
        <f ca="1">AH7*EXP(-AH8)/(1-EXP(-AI8))</f>
        <v>8.8691288402809512E-3</v>
      </c>
    </row>
    <row r="8" spans="1:35">
      <c r="A8" s="5"/>
      <c r="B8" s="26"/>
      <c r="C8" s="26"/>
      <c r="E8" t="s">
        <v>111</v>
      </c>
      <c r="F8">
        <f ca="1">SUMXMY2(E4:E6,F4:F6)</f>
        <v>2004781.0244202113</v>
      </c>
      <c r="J8" t="s">
        <v>11</v>
      </c>
      <c r="K8" s="1">
        <f ca="1">M+f1_*flt1_ +f2_*flt2_ +f3_*flt3_</f>
        <v>0.15019433705374979</v>
      </c>
      <c r="L8" s="1">
        <f t="shared" ref="L8:AI8" ca="1" si="4">M+f1_*flt1_ +f2_*flt2_ +f3_*flt3_</f>
        <v>0.15250739002833114</v>
      </c>
      <c r="M8" s="1">
        <f t="shared" ca="1" si="4"/>
        <v>0.16720313409844834</v>
      </c>
      <c r="N8" s="1">
        <f t="shared" ca="1" si="4"/>
        <v>0.17765449506929007</v>
      </c>
      <c r="O8" s="1">
        <f t="shared" ca="1" si="4"/>
        <v>0.17681728460375512</v>
      </c>
      <c r="P8" s="1">
        <f t="shared" ca="1" si="4"/>
        <v>0.17522798805792997</v>
      </c>
      <c r="Q8" s="1">
        <f t="shared" ca="1" si="4"/>
        <v>0.18287595882622842</v>
      </c>
      <c r="R8" s="1">
        <f t="shared" ca="1" si="4"/>
        <v>0.18935901505924746</v>
      </c>
      <c r="S8" s="1">
        <f t="shared" ca="1" si="4"/>
        <v>0.18893779175999473</v>
      </c>
      <c r="T8" s="1">
        <f t="shared" ca="1" si="4"/>
        <v>0.18656892361919925</v>
      </c>
      <c r="U8" s="1">
        <f t="shared" ca="1" si="4"/>
        <v>0.18445925103454461</v>
      </c>
      <c r="V8" s="1">
        <f t="shared" ca="1" si="4"/>
        <v>0.18402716990506579</v>
      </c>
      <c r="W8" s="1">
        <f t="shared" ca="1" si="4"/>
        <v>0.18751988967573899</v>
      </c>
      <c r="X8" s="1">
        <f t="shared" ca="1" si="4"/>
        <v>0.19931058510412811</v>
      </c>
      <c r="Y8" s="1">
        <f t="shared" ca="1" si="4"/>
        <v>0.22546037600031046</v>
      </c>
      <c r="Z8" s="1">
        <f t="shared" ca="1" si="4"/>
        <v>0.26882982690229845</v>
      </c>
      <c r="AA8" s="1">
        <f t="shared" ca="1" si="4"/>
        <v>0.31408885604601122</v>
      </c>
      <c r="AB8" s="1">
        <f t="shared" ca="1" si="4"/>
        <v>0.34593508804947798</v>
      </c>
      <c r="AC8" s="1">
        <f t="shared" ca="1" si="4"/>
        <v>0.36265817769367609</v>
      </c>
      <c r="AD8" s="1">
        <f t="shared" ca="1" si="4"/>
        <v>0.37010898745004639</v>
      </c>
      <c r="AE8" s="1">
        <f t="shared" ca="1" si="4"/>
        <v>0.37318333481247651</v>
      </c>
      <c r="AF8" s="1">
        <f t="shared" ca="1" si="4"/>
        <v>0.37441084551717668</v>
      </c>
      <c r="AG8" s="1">
        <f t="shared" ca="1" si="4"/>
        <v>0.37489390926022059</v>
      </c>
      <c r="AH8" s="1">
        <f t="shared" ca="1" si="4"/>
        <v>0.37508232523108626</v>
      </c>
      <c r="AI8" s="1">
        <f t="shared" ca="1" si="4"/>
        <v>0.37515495840010565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0.86054072522485958</v>
      </c>
      <c r="L10" s="1">
        <f t="shared" ca="1" si="5"/>
        <v>0.85855254920528834</v>
      </c>
      <c r="M10" s="1">
        <f t="shared" ca="1" si="5"/>
        <v>0.84602773679941257</v>
      </c>
      <c r="N10" s="1">
        <f t="shared" ca="1" si="5"/>
        <v>0.83723164118299642</v>
      </c>
      <c r="O10" s="1">
        <f t="shared" ca="1" si="5"/>
        <v>0.83793287377374459</v>
      </c>
      <c r="P10" s="1">
        <f t="shared" ca="1" si="5"/>
        <v>0.83926565640854989</v>
      </c>
      <c r="Q10" s="1">
        <f t="shared" ca="1" si="5"/>
        <v>0.83287145968344711</v>
      </c>
      <c r="R10" s="1">
        <f t="shared" ca="1" si="5"/>
        <v>0.8274893722140565</v>
      </c>
      <c r="S10" s="1">
        <f t="shared" ca="1" si="5"/>
        <v>0.8278380034381595</v>
      </c>
      <c r="T10" s="1">
        <f t="shared" ca="1" si="5"/>
        <v>0.82980136706689456</v>
      </c>
      <c r="U10" s="1">
        <f t="shared" ca="1" si="5"/>
        <v>0.83155382416708024</v>
      </c>
      <c r="V10" s="1">
        <f t="shared" ca="1" si="5"/>
        <v>0.83191320051692719</v>
      </c>
      <c r="W10" s="1">
        <f t="shared" ca="1" si="5"/>
        <v>0.82901262922404206</v>
      </c>
      <c r="X10" s="1">
        <f t="shared" ca="1" si="5"/>
        <v>0.81929539286803921</v>
      </c>
      <c r="Y10" s="1">
        <f t="shared" ca="1" si="5"/>
        <v>0.79814868566460107</v>
      </c>
      <c r="Z10" s="1">
        <f t="shared" ca="1" si="5"/>
        <v>0.76427330333809562</v>
      </c>
      <c r="AA10" s="1">
        <f t="shared" ca="1" si="5"/>
        <v>0.7304541200108301</v>
      </c>
      <c r="AB10" s="1">
        <f t="shared" ca="1" si="5"/>
        <v>0.70755841461266433</v>
      </c>
      <c r="AC10" s="1">
        <f t="shared" ca="1" si="5"/>
        <v>0.69582424109969709</v>
      </c>
      <c r="AD10" s="1">
        <f t="shared" ca="1" si="5"/>
        <v>0.69065905336621247</v>
      </c>
      <c r="AE10" s="1">
        <f t="shared" ca="1" si="5"/>
        <v>0.68853898810551462</v>
      </c>
      <c r="AF10" s="1">
        <f t="shared" ca="1" si="5"/>
        <v>0.6876943176540834</v>
      </c>
      <c r="AG10" s="1">
        <f t="shared" ca="1" si="5"/>
        <v>0.68736219768694296</v>
      </c>
      <c r="AH10" s="1">
        <f t="shared" ca="1" si="5"/>
        <v>0.68723269987124092</v>
      </c>
      <c r="AI10" s="1">
        <f t="shared" ca="1" si="5"/>
        <v>0.68718278579512615</v>
      </c>
    </row>
    <row r="11" spans="1:35">
      <c r="A11" s="5">
        <v>1</v>
      </c>
      <c r="B11" s="25">
        <f>'Status Quo'!B11</f>
        <v>0.26028638242243257</v>
      </c>
      <c r="C11" s="18">
        <f ca="1">mpr1_/SUM(mpr1_,mpr2_,mpr3_)</f>
        <v>0.26028638242243257</v>
      </c>
      <c r="J11" t="s">
        <v>56</v>
      </c>
      <c r="K11" s="1">
        <f ca="1">1-sa</f>
        <v>0.13945927477514042</v>
      </c>
      <c r="L11" s="1">
        <f t="shared" ref="L11:AI11" ca="1" si="6">1-sa</f>
        <v>0.14144745079471166</v>
      </c>
      <c r="M11" s="1">
        <f t="shared" ca="1" si="6"/>
        <v>0.15397226320058743</v>
      </c>
      <c r="N11" s="1">
        <f t="shared" ca="1" si="6"/>
        <v>0.16276835881700358</v>
      </c>
      <c r="O11" s="1">
        <f t="shared" ca="1" si="6"/>
        <v>0.16206712622625541</v>
      </c>
      <c r="P11" s="1">
        <f t="shared" ca="1" si="6"/>
        <v>0.16073434359145011</v>
      </c>
      <c r="Q11" s="1">
        <f t="shared" ca="1" si="6"/>
        <v>0.16712854031655289</v>
      </c>
      <c r="R11" s="1">
        <f t="shared" ca="1" si="6"/>
        <v>0.1725106277859435</v>
      </c>
      <c r="S11" s="1">
        <f t="shared" ca="1" si="6"/>
        <v>0.1721619965618405</v>
      </c>
      <c r="T11" s="1">
        <f t="shared" ca="1" si="6"/>
        <v>0.17019863293310544</v>
      </c>
      <c r="U11" s="1">
        <f t="shared" ca="1" si="6"/>
        <v>0.16844617583291976</v>
      </c>
      <c r="V11" s="1">
        <f t="shared" ca="1" si="6"/>
        <v>0.16808679948307281</v>
      </c>
      <c r="W11" s="1">
        <f t="shared" ca="1" si="6"/>
        <v>0.17098737077595794</v>
      </c>
      <c r="X11" s="1">
        <f t="shared" ca="1" si="6"/>
        <v>0.18070460713196079</v>
      </c>
      <c r="Y11" s="1">
        <f t="shared" ca="1" si="6"/>
        <v>0.20185131433539893</v>
      </c>
      <c r="Z11" s="1">
        <f t="shared" ca="1" si="6"/>
        <v>0.23572669666190438</v>
      </c>
      <c r="AA11" s="1">
        <f t="shared" ca="1" si="6"/>
        <v>0.2695458799891699</v>
      </c>
      <c r="AB11" s="1">
        <f t="shared" ca="1" si="6"/>
        <v>0.29244158538733567</v>
      </c>
      <c r="AC11" s="1">
        <f t="shared" ca="1" si="6"/>
        <v>0.30417575890030291</v>
      </c>
      <c r="AD11" s="1">
        <f t="shared" ca="1" si="6"/>
        <v>0.30934094663378753</v>
      </c>
      <c r="AE11" s="1">
        <f t="shared" ca="1" si="6"/>
        <v>0.31146101189448538</v>
      </c>
      <c r="AF11" s="1">
        <f t="shared" ca="1" si="6"/>
        <v>0.3123056823459166</v>
      </c>
      <c r="AG11" s="1">
        <f t="shared" ca="1" si="6"/>
        <v>0.31263780231305704</v>
      </c>
      <c r="AH11" s="1">
        <f t="shared" ca="1" si="6"/>
        <v>0.31276730012875908</v>
      </c>
      <c r="AI11" s="1">
        <f t="shared" ca="1" si="6"/>
        <v>0.31281721420487385</v>
      </c>
    </row>
    <row r="12" spans="1:35">
      <c r="A12" s="5">
        <v>2</v>
      </c>
      <c r="B12" s="25">
        <f>'Status Quo'!B12</f>
        <v>0.55746237931999676</v>
      </c>
      <c r="C12" s="18">
        <f ca="1">mpr2_/SUM(mpr1_,mpr2_,mpr3_)</f>
        <v>0.55746237931999665</v>
      </c>
      <c r="J12" t="s">
        <v>100</v>
      </c>
      <c r="K12">
        <f>1/(1+EXP(($E18-len)/2.5))</f>
        <v>5.6126934388498569E-12</v>
      </c>
      <c r="L12">
        <f t="shared" ref="L12:AI12" si="7">1/(1+EXP(($E18-len)/2.5))</f>
        <v>1.2978976454834829E-9</v>
      </c>
      <c r="M12">
        <f t="shared" si="7"/>
        <v>1.99637952261423E-7</v>
      </c>
      <c r="N12">
        <f t="shared" si="7"/>
        <v>2.1058746277498515E-5</v>
      </c>
      <c r="O12">
        <f t="shared" si="7"/>
        <v>1.564676467664138E-3</v>
      </c>
      <c r="P12">
        <f t="shared" si="7"/>
        <v>7.7870643543285392E-2</v>
      </c>
      <c r="Q12">
        <f t="shared" si="7"/>
        <v>0.77146898694811417</v>
      </c>
      <c r="R12">
        <f>1/(1+EXP(($E18-len)/2.5))</f>
        <v>0.99032644321048724</v>
      </c>
      <c r="S12">
        <f t="shared" si="7"/>
        <v>0.99958428557508638</v>
      </c>
      <c r="T12">
        <f t="shared" si="7"/>
        <v>0.99997757111253649</v>
      </c>
      <c r="U12">
        <f t="shared" si="7"/>
        <v>0.99999849463304669</v>
      </c>
      <c r="V12">
        <f t="shared" si="7"/>
        <v>0.99999987630899723</v>
      </c>
      <c r="W12">
        <f t="shared" si="7"/>
        <v>0.99999998774476839</v>
      </c>
      <c r="X12">
        <f t="shared" si="7"/>
        <v>0.9999999985562078</v>
      </c>
      <c r="Y12">
        <f t="shared" si="7"/>
        <v>0.99999999980035637</v>
      </c>
      <c r="Z12">
        <f t="shared" si="7"/>
        <v>0.99999999996798428</v>
      </c>
      <c r="AA12">
        <f t="shared" si="7"/>
        <v>0.99999999999411138</v>
      </c>
      <c r="AB12">
        <f t="shared" si="7"/>
        <v>0.99999999999877054</v>
      </c>
      <c r="AC12">
        <f t="shared" si="7"/>
        <v>0.99999999999971134</v>
      </c>
      <c r="AD12">
        <f t="shared" si="7"/>
        <v>0.9999999999999245</v>
      </c>
      <c r="AE12">
        <f t="shared" si="7"/>
        <v>0.99999999999997824</v>
      </c>
      <c r="AF12">
        <f t="shared" si="7"/>
        <v>0.99999999999999312</v>
      </c>
      <c r="AG12">
        <f t="shared" si="7"/>
        <v>0.99999999999999756</v>
      </c>
      <c r="AH12">
        <f t="shared" si="7"/>
        <v>0.99999999999999911</v>
      </c>
      <c r="AI12">
        <f t="shared" si="7"/>
        <v>0.99999999999999956</v>
      </c>
    </row>
    <row r="13" spans="1:35">
      <c r="A13" s="5">
        <v>3</v>
      </c>
      <c r="B13" s="25">
        <f>1-SUM(B11:B12)</f>
        <v>0.18225123825757072</v>
      </c>
      <c r="C13" s="18">
        <f ca="1">mpr3_/SUM(mpr1_,mpr2_,mpr3_)</f>
        <v>0.18225123825757075</v>
      </c>
      <c r="J13" t="s">
        <v>101</v>
      </c>
      <c r="K13">
        <f>1/(1+EXP(($E19-len)/2.5))</f>
        <v>1.780212213170972E-32</v>
      </c>
      <c r="L13">
        <f t="shared" ref="L13:Q14" si="8">1/(1+EXP(($E19-len)/2.5))</f>
        <v>4.1166211340324113E-30</v>
      </c>
      <c r="M13">
        <f t="shared" si="8"/>
        <v>6.3320399670713315E-28</v>
      </c>
      <c r="N13">
        <f t="shared" si="8"/>
        <v>6.6794716679723202E-26</v>
      </c>
      <c r="O13">
        <f t="shared" si="8"/>
        <v>4.9705571051631045E-24</v>
      </c>
      <c r="P13">
        <f t="shared" si="8"/>
        <v>2.6784427606745092E-22</v>
      </c>
      <c r="Q13">
        <f t="shared" si="8"/>
        <v>1.0707147400765349E-20</v>
      </c>
      <c r="R13">
        <f>1/(1+EXP(($E19-len)/2.5))</f>
        <v>3.2470774237305647E-19</v>
      </c>
      <c r="S13">
        <f t="shared" ref="S13:AI13" si="9">1/(1+EXP(($E19-len)/2.5))</f>
        <v>7.6264913102733784E-18</v>
      </c>
      <c r="T13">
        <f t="shared" si="9"/>
        <v>1.4141093097190688E-16</v>
      </c>
      <c r="U13">
        <f t="shared" si="9"/>
        <v>2.1069654906178927E-15</v>
      </c>
      <c r="V13">
        <f t="shared" si="9"/>
        <v>2.5642613710579942E-14</v>
      </c>
      <c r="W13">
        <f t="shared" si="9"/>
        <v>2.5880873253271309E-13</v>
      </c>
      <c r="X13">
        <f t="shared" si="9"/>
        <v>2.1968263846960051E-12</v>
      </c>
      <c r="Y13">
        <f t="shared" si="9"/>
        <v>1.5887117618179969E-11</v>
      </c>
      <c r="Z13">
        <f t="shared" si="9"/>
        <v>9.9068954677535708E-11</v>
      </c>
      <c r="AA13">
        <f t="shared" si="9"/>
        <v>5.3863356368460146E-10</v>
      </c>
      <c r="AB13">
        <f t="shared" si="9"/>
        <v>2.5797156485912094E-9</v>
      </c>
      <c r="AC13">
        <f t="shared" si="9"/>
        <v>1.0987480026385197E-8</v>
      </c>
      <c r="AD13">
        <f t="shared" si="9"/>
        <v>4.198444838888185E-8</v>
      </c>
      <c r="AE13">
        <f t="shared" si="9"/>
        <v>1.4510196922743085E-7</v>
      </c>
      <c r="AF13">
        <f t="shared" si="9"/>
        <v>4.5700253478658503E-7</v>
      </c>
      <c r="AG13">
        <f t="shared" si="9"/>
        <v>1.3208259556624439E-6</v>
      </c>
      <c r="AH13">
        <f t="shared" si="9"/>
        <v>3.5257296435145709E-6</v>
      </c>
      <c r="AI13">
        <f t="shared" si="9"/>
        <v>8.7440746529709757E-6</v>
      </c>
    </row>
    <row r="14" spans="1:35">
      <c r="A14" s="27" t="s">
        <v>49</v>
      </c>
      <c r="B14" s="30">
        <v>0.4</v>
      </c>
      <c r="C14" s="29">
        <f ca="1">spr</f>
        <v>0.40000002582707234</v>
      </c>
      <c r="J14" t="s">
        <v>102</v>
      </c>
      <c r="K14">
        <f>1/(1+EXP(($E20-len)/2.5))</f>
        <v>5.6126934388498569E-12</v>
      </c>
      <c r="L14">
        <f t="shared" si="8"/>
        <v>1.2978976454834829E-9</v>
      </c>
      <c r="M14">
        <f t="shared" si="8"/>
        <v>1.99637952261423E-7</v>
      </c>
      <c r="N14">
        <f t="shared" si="8"/>
        <v>2.1058746277498515E-5</v>
      </c>
      <c r="O14">
        <f t="shared" si="8"/>
        <v>1.564676467664138E-3</v>
      </c>
      <c r="P14">
        <f t="shared" si="8"/>
        <v>7.7870643543285392E-2</v>
      </c>
      <c r="Q14">
        <f t="shared" si="8"/>
        <v>0.77146898694811417</v>
      </c>
      <c r="R14">
        <f>1/(1+EXP(($E20-len)/2.5))</f>
        <v>0.99032644321048724</v>
      </c>
      <c r="S14">
        <f t="shared" ref="S14:AI14" si="10">1/(1+EXP(($E20-len)/2.5))</f>
        <v>0.99958428557508638</v>
      </c>
      <c r="T14">
        <f t="shared" si="10"/>
        <v>0.99997757111253649</v>
      </c>
      <c r="U14">
        <f t="shared" si="10"/>
        <v>0.99999849463304669</v>
      </c>
      <c r="V14">
        <f t="shared" si="10"/>
        <v>0.99999987630899723</v>
      </c>
      <c r="W14">
        <f t="shared" si="10"/>
        <v>0.99999998774476839</v>
      </c>
      <c r="X14">
        <f t="shared" si="10"/>
        <v>0.9999999985562078</v>
      </c>
      <c r="Y14">
        <f t="shared" si="10"/>
        <v>0.99999999980035637</v>
      </c>
      <c r="Z14">
        <f t="shared" si="10"/>
        <v>0.99999999996798428</v>
      </c>
      <c r="AA14">
        <f t="shared" si="10"/>
        <v>0.99999999999411138</v>
      </c>
      <c r="AB14">
        <f t="shared" si="10"/>
        <v>0.99999999999877054</v>
      </c>
      <c r="AC14">
        <f t="shared" si="10"/>
        <v>0.99999999999971134</v>
      </c>
      <c r="AD14">
        <f t="shared" si="10"/>
        <v>0.9999999999999245</v>
      </c>
      <c r="AE14">
        <f t="shared" si="10"/>
        <v>0.99999999999997824</v>
      </c>
      <c r="AF14">
        <f t="shared" si="10"/>
        <v>0.99999999999999312</v>
      </c>
      <c r="AG14">
        <f t="shared" si="10"/>
        <v>0.99999999999999756</v>
      </c>
      <c r="AH14">
        <f t="shared" si="10"/>
        <v>0.99999999999999911</v>
      </c>
      <c r="AI14">
        <f t="shared" si="10"/>
        <v>0.99999999999999956</v>
      </c>
    </row>
    <row r="15" spans="1:35">
      <c r="A15" s="5"/>
      <c r="B15" s="26" t="s">
        <v>50</v>
      </c>
      <c r="C15" s="26">
        <f ca="1">CHOOSE(C25,SUMXMY2(B14,C14),SUMXMY2(B7,C7))</f>
        <v>6.6703766431945267E-16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1">((EXP(g*(ah-age)/gh)/(1+EXP((ah-age)/gh))) *(1/(1-g))*((1-g)/g)^g) *(sr+(1-sr)*dmr)</f>
        <v>2.8474655284082498E-7</v>
      </c>
      <c r="M18" s="4">
        <f t="shared" si="11"/>
        <v>7.2799064193298868E-7</v>
      </c>
      <c r="N18" s="4">
        <f t="shared" si="11"/>
        <v>1.8613941753055458E-6</v>
      </c>
      <c r="O18" s="4">
        <f t="shared" si="11"/>
        <v>4.7973732538525313E-6</v>
      </c>
      <c r="P18" s="4">
        <f t="shared" ref="P18:AI18" si="12">((EXP(g*(ah-age)/gh)/(1+EXP((ah-age)/gh))) *(1/(1-g))*((1-g)/g)^g) *(sr_1+(1-sr_1)*dmr)</f>
        <v>1.7137769583510798E-5</v>
      </c>
      <c r="Q18" s="4">
        <f t="shared" si="12"/>
        <v>1.5704525993082906E-4</v>
      </c>
      <c r="R18" s="4">
        <f t="shared" si="12"/>
        <v>4.9270679394694951E-4</v>
      </c>
      <c r="S18" s="4">
        <f t="shared" si="12"/>
        <v>1.268564977270979E-3</v>
      </c>
      <c r="T18" s="4">
        <f t="shared" si="12"/>
        <v>3.2379295167042068E-3</v>
      </c>
      <c r="U18" s="4">
        <f t="shared" si="12"/>
        <v>8.236827271567819E-3</v>
      </c>
      <c r="V18" s="4">
        <f t="shared" si="12"/>
        <v>2.079200621233079E-2</v>
      </c>
      <c r="W18" s="4">
        <f t="shared" si="12"/>
        <v>5.1491204378878774E-2</v>
      </c>
      <c r="X18" s="4">
        <f t="shared" si="12"/>
        <v>0.1218766197503028</v>
      </c>
      <c r="Y18" s="4">
        <f t="shared" si="12"/>
        <v>0.26191103363059803</v>
      </c>
      <c r="Z18" s="4">
        <f t="shared" si="12"/>
        <v>0.47569349278639222</v>
      </c>
      <c r="AA18" s="4">
        <f t="shared" si="12"/>
        <v>0.69879031204778541</v>
      </c>
      <c r="AB18" s="4">
        <f t="shared" si="12"/>
        <v>0.85577098971264853</v>
      </c>
      <c r="AC18" s="4">
        <f t="shared" si="12"/>
        <v>0.93820466490256382</v>
      </c>
      <c r="AD18" s="4">
        <f t="shared" si="12"/>
        <v>0.97493218621747679</v>
      </c>
      <c r="AE18" s="4">
        <f t="shared" si="12"/>
        <v>0.99008666767320841</v>
      </c>
      <c r="AF18" s="4">
        <f t="shared" si="12"/>
        <v>0.99613747651752416</v>
      </c>
      <c r="AG18" s="4">
        <f t="shared" si="12"/>
        <v>0.9985186584962934</v>
      </c>
      <c r="AH18" s="4">
        <f t="shared" si="12"/>
        <v>0.99944742353154647</v>
      </c>
      <c r="AI18" s="4">
        <f t="shared" si="12"/>
        <v>0.99980545659782449</v>
      </c>
    </row>
    <row r="19" spans="1:39">
      <c r="A19" t="s">
        <v>21</v>
      </c>
      <c r="B19">
        <v>12</v>
      </c>
      <c r="E19">
        <v>200</v>
      </c>
      <c r="F19" s="31">
        <v>0.4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1"/>
        <v>2.7913402329611753E-3</v>
      </c>
      <c r="L19" s="4">
        <f t="shared" si="11"/>
        <v>3.6077760555441117E-2</v>
      </c>
      <c r="M19" s="4">
        <f t="shared" si="11"/>
        <v>0.24760759580191832</v>
      </c>
      <c r="N19" s="4">
        <f t="shared" si="11"/>
        <v>0.39787494152939112</v>
      </c>
      <c r="O19" s="4">
        <f t="shared" si="11"/>
        <v>0.38506651442741963</v>
      </c>
      <c r="P19" s="4">
        <f t="shared" ref="P19:Y19" si="13">((EXP(g*(ah-age)/gh)/(1+EXP((ah-age)/gh))) *(1/(1-g))*((1-g)/g)^g) *(sr_2+(1-sr_2)*dmr)</f>
        <v>0.35371766938136068</v>
      </c>
      <c r="Q19" s="4">
        <f t="shared" si="13"/>
        <v>0.32462999187708075</v>
      </c>
      <c r="R19" s="4">
        <f t="shared" si="13"/>
        <v>0.29787028803561516</v>
      </c>
      <c r="S19" s="4">
        <f t="shared" si="13"/>
        <v>0.27331253470735434</v>
      </c>
      <c r="T19" s="4">
        <f t="shared" si="13"/>
        <v>0.25077919570694979</v>
      </c>
      <c r="U19" s="4">
        <f t="shared" si="13"/>
        <v>0.23010361066963747</v>
      </c>
      <c r="V19" s="4">
        <f t="shared" si="13"/>
        <v>0.21113263113934488</v>
      </c>
      <c r="W19" s="4">
        <f t="shared" si="13"/>
        <v>0.19372572116503445</v>
      </c>
      <c r="X19" s="4">
        <f t="shared" si="13"/>
        <v>0.1777539304929163</v>
      </c>
      <c r="Y19" s="4">
        <f t="shared" si="13"/>
        <v>0.16309894017265125</v>
      </c>
      <c r="Z19" s="4">
        <f>Y19</f>
        <v>0.16309894017265125</v>
      </c>
      <c r="AA19" s="4">
        <f t="shared" ref="AA19:AI20" si="14">Z19</f>
        <v>0.16309894017265125</v>
      </c>
      <c r="AB19" s="4">
        <f t="shared" si="14"/>
        <v>0.16309894017265125</v>
      </c>
      <c r="AC19" s="4">
        <f t="shared" si="14"/>
        <v>0.16309894017265125</v>
      </c>
      <c r="AD19" s="4">
        <f t="shared" si="14"/>
        <v>0.16309894017265125</v>
      </c>
      <c r="AE19" s="4">
        <f t="shared" si="14"/>
        <v>0.16309894017265125</v>
      </c>
      <c r="AF19" s="4">
        <f t="shared" si="14"/>
        <v>0.16309894017265125</v>
      </c>
      <c r="AG19" s="4">
        <f t="shared" si="14"/>
        <v>0.16309894017265125</v>
      </c>
      <c r="AH19" s="4">
        <f t="shared" si="14"/>
        <v>0.16309894017265125</v>
      </c>
      <c r="AI19" s="4">
        <f t="shared" si="14"/>
        <v>0.16309894017265125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1"/>
        <v>2.2517159451801021E-5</v>
      </c>
      <c r="L20" s="4">
        <f t="shared" si="11"/>
        <v>8.0649597967121964E-5</v>
      </c>
      <c r="M20" s="4">
        <f t="shared" si="11"/>
        <v>2.8819851781693308E-4</v>
      </c>
      <c r="N20" s="4">
        <f t="shared" si="11"/>
        <v>1.0211086414450173E-3</v>
      </c>
      <c r="O20" s="4">
        <f t="shared" si="11"/>
        <v>3.6398974953330489E-3</v>
      </c>
      <c r="P20" s="4">
        <f t="shared" ref="P20:Y20" si="15">((EXP(g*(ah-age)/gh)/(1+EXP((ah-age)/gh))) *(1/(1-g))*((1-g)/g)^g) *(sr_3+(1-sr_3)*dmr)</f>
        <v>3.3247090371016599E-2</v>
      </c>
      <c r="Q20" s="4">
        <f t="shared" si="15"/>
        <v>0.52071142085930722</v>
      </c>
      <c r="R20" s="4">
        <f t="shared" si="15"/>
        <v>0.9390844473751867</v>
      </c>
      <c r="S20" s="4">
        <f t="shared" si="15"/>
        <v>0.99607472397654595</v>
      </c>
      <c r="T20" s="4">
        <f t="shared" si="15"/>
        <v>0.93522350057800274</v>
      </c>
      <c r="U20" s="4">
        <f t="shared" si="15"/>
        <v>0.8498760006410957</v>
      </c>
      <c r="V20" s="4">
        <f t="shared" si="15"/>
        <v>0.76585734156821039</v>
      </c>
      <c r="W20" s="4">
        <f t="shared" si="15"/>
        <v>0.6886827052361959</v>
      </c>
      <c r="X20" s="4">
        <f t="shared" si="15"/>
        <v>0.61895512421121124</v>
      </c>
      <c r="Y20" s="4">
        <f t="shared" si="15"/>
        <v>0.5562130005311563</v>
      </c>
      <c r="Z20" s="4">
        <f>Y20</f>
        <v>0.5562130005311563</v>
      </c>
      <c r="AA20" s="4">
        <f t="shared" si="14"/>
        <v>0.5562130005311563</v>
      </c>
      <c r="AB20" s="4">
        <f t="shared" si="14"/>
        <v>0.5562130005311563</v>
      </c>
      <c r="AC20" s="4">
        <f t="shared" si="14"/>
        <v>0.5562130005311563</v>
      </c>
      <c r="AD20" s="4">
        <f t="shared" si="14"/>
        <v>0.5562130005311563</v>
      </c>
      <c r="AE20" s="4">
        <f t="shared" si="14"/>
        <v>0.5562130005311563</v>
      </c>
      <c r="AF20" s="4">
        <f t="shared" si="14"/>
        <v>0.5562130005311563</v>
      </c>
      <c r="AG20" s="4">
        <f t="shared" si="14"/>
        <v>0.5562130005311563</v>
      </c>
      <c r="AH20" s="4">
        <f t="shared" si="14"/>
        <v>0.5562130005311563</v>
      </c>
      <c r="AI20" s="4">
        <f t="shared" si="14"/>
        <v>0.5562130005311563</v>
      </c>
    </row>
    <row r="21" spans="1:39">
      <c r="A21" t="s">
        <v>42</v>
      </c>
      <c r="B21" s="1">
        <f>Bo/phie</f>
        <v>10156.738776787859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6">wa*flt1_*(1-EXP(-za))/za</f>
        <v>7.2554665035943009E-9</v>
      </c>
      <c r="L22" s="1">
        <f t="shared" ca="1" si="16"/>
        <v>1.221147602040499E-7</v>
      </c>
      <c r="M22" s="1">
        <f t="shared" ca="1" si="16"/>
        <v>9.3965718940154815E-7</v>
      </c>
      <c r="N22" s="1">
        <f t="shared" ca="1" si="16"/>
        <v>5.1611619253051983E-6</v>
      </c>
      <c r="O22" s="1">
        <f t="shared" ca="1" si="16"/>
        <v>2.3739967631077455E-5</v>
      </c>
      <c r="P22" s="1">
        <f t="shared" ca="1" si="16"/>
        <v>1.3399293926736057E-4</v>
      </c>
      <c r="Q22" s="1">
        <f t="shared" ca="1" si="16"/>
        <v>1.7743124541779031E-3</v>
      </c>
      <c r="R22" s="1">
        <f t="shared" ca="1" si="16"/>
        <v>7.5636461217882187E-3</v>
      </c>
      <c r="S22" s="1">
        <f t="shared" ca="1" si="16"/>
        <v>2.5320403007704915E-2</v>
      </c>
      <c r="T22" s="1">
        <f t="shared" ca="1" si="16"/>
        <v>8.1037730724644763E-2</v>
      </c>
      <c r="U22" s="1">
        <f t="shared" ca="1" si="16"/>
        <v>0.25083579522188487</v>
      </c>
      <c r="V22" s="1">
        <f t="shared" ca="1" si="16"/>
        <v>0.75115907309005259</v>
      </c>
      <c r="W22" s="1">
        <f t="shared" ca="1" si="16"/>
        <v>2.1581738649643136</v>
      </c>
      <c r="X22" s="1">
        <f t="shared" ca="1" si="16"/>
        <v>5.8020333152779235</v>
      </c>
      <c r="Y22" s="1">
        <f t="shared" ca="1" si="16"/>
        <v>13.859848991531104</v>
      </c>
      <c r="Z22" s="1">
        <f t="shared" ca="1" si="16"/>
        <v>27.406617389377875</v>
      </c>
      <c r="AA22" s="1">
        <f t="shared" ca="1" si="16"/>
        <v>43.325083361348121</v>
      </c>
      <c r="AB22" s="1">
        <f t="shared" ca="1" si="16"/>
        <v>56.924201969339826</v>
      </c>
      <c r="AC22" s="1">
        <f t="shared" ca="1" si="16"/>
        <v>66.87682881084018</v>
      </c>
      <c r="AD22" s="1">
        <f t="shared" ca="1" si="16"/>
        <v>74.24901470687243</v>
      </c>
      <c r="AE22" s="1">
        <f t="shared" ca="1" si="16"/>
        <v>80.202273039458817</v>
      </c>
      <c r="AF22" s="1">
        <f t="shared" ca="1" si="16"/>
        <v>85.405334996787886</v>
      </c>
      <c r="AG22" s="1">
        <f t="shared" ca="1" si="16"/>
        <v>90.172619142326965</v>
      </c>
      <c r="AH22" s="1">
        <f t="shared" ca="1" si="16"/>
        <v>94.640032618388673</v>
      </c>
      <c r="AI22" s="1">
        <f t="shared" ca="1" si="16"/>
        <v>98.864222423262731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7">wa*flt2_*(1-EXP(-za))/za</f>
        <v>1.8183908865187975E-4</v>
      </c>
      <c r="L23" s="1">
        <f t="shared" ca="1" si="17"/>
        <v>1.5472099784785082E-2</v>
      </c>
      <c r="M23" s="1">
        <f t="shared" ca="1" si="17"/>
        <v>0.31960061591989808</v>
      </c>
      <c r="N23" s="1">
        <f t="shared" ca="1" si="17"/>
        <v>1.1032037311051788</v>
      </c>
      <c r="O23" s="1">
        <f t="shared" ca="1" si="17"/>
        <v>1.9055149775927285</v>
      </c>
      <c r="P23" s="1">
        <f t="shared" ca="1" si="17"/>
        <v>2.7655681773671996</v>
      </c>
      <c r="Q23" s="1">
        <f t="shared" ca="1" si="17"/>
        <v>3.6677008770648301</v>
      </c>
      <c r="R23" s="1">
        <f t="shared" ca="1" si="17"/>
        <v>4.5726697430908629</v>
      </c>
      <c r="S23" s="1">
        <f t="shared" ca="1" si="17"/>
        <v>5.4552850266567621</v>
      </c>
      <c r="T23" s="1">
        <f t="shared" ca="1" si="17"/>
        <v>6.2764111535474507</v>
      </c>
      <c r="U23" s="1">
        <f t="shared" ca="1" si="17"/>
        <v>7.0073367162838744</v>
      </c>
      <c r="V23" s="1">
        <f t="shared" ca="1" si="17"/>
        <v>7.6276521796939107</v>
      </c>
      <c r="W23" s="1">
        <f t="shared" ca="1" si="17"/>
        <v>8.1197127438184307</v>
      </c>
      <c r="X23" s="1">
        <f t="shared" ca="1" si="17"/>
        <v>8.4621170882033301</v>
      </c>
      <c r="Y23" s="1">
        <f t="shared" ca="1" si="17"/>
        <v>8.6308951942054559</v>
      </c>
      <c r="Z23" s="1">
        <f t="shared" ca="1" si="17"/>
        <v>9.3967866235498665</v>
      </c>
      <c r="AA23" s="1">
        <f t="shared" ca="1" si="17"/>
        <v>10.11215389981599</v>
      </c>
      <c r="AB23" s="1">
        <f t="shared" ca="1" si="17"/>
        <v>10.849020500789297</v>
      </c>
      <c r="AC23" s="1">
        <f t="shared" ca="1" si="17"/>
        <v>11.625970653523295</v>
      </c>
      <c r="AD23" s="1">
        <f t="shared" ca="1" si="17"/>
        <v>12.421310711402796</v>
      </c>
      <c r="AE23" s="1">
        <f t="shared" ca="1" si="17"/>
        <v>13.211879484161345</v>
      </c>
      <c r="AF23" s="1">
        <f t="shared" ca="1" si="17"/>
        <v>13.983531341239823</v>
      </c>
      <c r="AG23" s="1">
        <f t="shared" ca="1" si="17"/>
        <v>14.728877111674169</v>
      </c>
      <c r="AH23" s="1">
        <f t="shared" ca="1" si="17"/>
        <v>15.444223132240756</v>
      </c>
      <c r="AI23" s="1">
        <f t="shared" ca="1" si="17"/>
        <v>16.127787452868059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8">wa*flt3_*(1-EXP(-za))/za</f>
        <v>1.4668580008252646E-6</v>
      </c>
      <c r="L24" s="1">
        <f t="shared" ca="1" si="18"/>
        <v>3.4586920256111058E-5</v>
      </c>
      <c r="M24" s="1">
        <f t="shared" ca="1" si="18"/>
        <v>3.7199353074442284E-4</v>
      </c>
      <c r="N24" s="1">
        <f t="shared" ca="1" si="18"/>
        <v>2.8312686865268923E-3</v>
      </c>
      <c r="O24" s="1">
        <f t="shared" ca="1" si="18"/>
        <v>1.8012158768395618E-2</v>
      </c>
      <c r="P24" s="1">
        <f t="shared" ca="1" si="18"/>
        <v>0.25994487434271252</v>
      </c>
      <c r="Q24" s="1">
        <f t="shared" ca="1" si="18"/>
        <v>5.8830477243966257</v>
      </c>
      <c r="R24" s="1">
        <f t="shared" ca="1" si="18"/>
        <v>14.416083816343201</v>
      </c>
      <c r="S24" s="1">
        <f t="shared" ca="1" si="18"/>
        <v>19.881530618267334</v>
      </c>
      <c r="T24" s="1">
        <f t="shared" ca="1" si="18"/>
        <v>23.406436062370695</v>
      </c>
      <c r="U24" s="1">
        <f t="shared" ca="1" si="18"/>
        <v>25.881242307540493</v>
      </c>
      <c r="V24" s="1">
        <f t="shared" ca="1" si="18"/>
        <v>27.668358932598622</v>
      </c>
      <c r="W24" s="1">
        <f t="shared" ca="1" si="18"/>
        <v>28.865066055890228</v>
      </c>
      <c r="X24" s="1">
        <f t="shared" ca="1" si="18"/>
        <v>29.465850453458369</v>
      </c>
      <c r="Y24" s="1">
        <f t="shared" ca="1" si="18"/>
        <v>29.43376644972173</v>
      </c>
      <c r="Z24" s="1">
        <f t="shared" ca="1" si="18"/>
        <v>32.045670423750018</v>
      </c>
      <c r="AA24" s="1">
        <f t="shared" ca="1" si="18"/>
        <v>34.485272905486447</v>
      </c>
      <c r="AB24" s="1">
        <f t="shared" ca="1" si="18"/>
        <v>36.998194097277761</v>
      </c>
      <c r="AC24" s="1">
        <f t="shared" ca="1" si="18"/>
        <v>39.647811410902584</v>
      </c>
      <c r="AD24" s="1">
        <f t="shared" ca="1" si="18"/>
        <v>42.360143444252977</v>
      </c>
      <c r="AE24" s="1">
        <f t="shared" ca="1" si="18"/>
        <v>45.056204060936246</v>
      </c>
      <c r="AF24" s="1">
        <f t="shared" ca="1" si="18"/>
        <v>47.6877527045799</v>
      </c>
      <c r="AG24" s="1">
        <f t="shared" ca="1" si="18"/>
        <v>50.229590235637083</v>
      </c>
      <c r="AH24" s="1">
        <f t="shared" ca="1" si="18"/>
        <v>52.669120229493437</v>
      </c>
      <c r="AI24" s="1">
        <f t="shared" ca="1" si="18"/>
        <v>55.000265738039815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1.0341528062915911E-7</v>
      </c>
      <c r="L26">
        <f t="shared" ref="L26:AI26" ca="1" si="19">qa1_/wa</f>
        <v>2.6409653994101007E-7</v>
      </c>
      <c r="M26">
        <f t="shared" ca="1" si="19"/>
        <v>6.7038436409494869E-7</v>
      </c>
      <c r="N26">
        <f t="shared" ca="1" si="19"/>
        <v>1.7054230736342733E-6</v>
      </c>
      <c r="O26">
        <f t="shared" ca="1" si="19"/>
        <v>4.3971747356540275E-6</v>
      </c>
      <c r="P26">
        <f t="shared" ca="1" si="19"/>
        <v>1.5720252085051928E-5</v>
      </c>
      <c r="Q26">
        <f t="shared" ca="1" si="19"/>
        <v>1.4352211862256404E-4</v>
      </c>
      <c r="R26">
        <f t="shared" ca="1" si="19"/>
        <v>4.4886776746062758E-4</v>
      </c>
      <c r="S26">
        <f t="shared" ca="1" si="19"/>
        <v>1.1559290347419042E-3</v>
      </c>
      <c r="T26">
        <f t="shared" ca="1" si="19"/>
        <v>2.9538208539039651E-3</v>
      </c>
      <c r="U26">
        <f t="shared" ca="1" si="19"/>
        <v>7.5217808112647321E-3</v>
      </c>
      <c r="V26">
        <f t="shared" ca="1" si="19"/>
        <v>1.8991009756144959E-2</v>
      </c>
      <c r="W26">
        <f t="shared" ca="1" si="19"/>
        <v>4.6951529622039155E-2</v>
      </c>
      <c r="X26">
        <f t="shared" ca="1" si="19"/>
        <v>0.11049923253721705</v>
      </c>
      <c r="Y26">
        <f t="shared" ca="1" si="19"/>
        <v>0.23448504484533586</v>
      </c>
      <c r="Z26">
        <f t="shared" ca="1" si="19"/>
        <v>0.41711761291596827</v>
      </c>
      <c r="AA26">
        <f t="shared" ca="1" si="19"/>
        <v>0.59969032954558077</v>
      </c>
      <c r="AB26">
        <f t="shared" ca="1" si="19"/>
        <v>0.72343926246724644</v>
      </c>
      <c r="AC26">
        <f t="shared" ca="1" si="19"/>
        <v>0.7869093639785254</v>
      </c>
      <c r="AD26">
        <f t="shared" ca="1" si="19"/>
        <v>0.81485847578604775</v>
      </c>
      <c r="AE26">
        <f t="shared" ca="1" si="19"/>
        <v>0.82633217137548021</v>
      </c>
      <c r="AF26">
        <f t="shared" ca="1" si="19"/>
        <v>0.83090380003394604</v>
      </c>
      <c r="AG26">
        <f t="shared" ca="1" si="19"/>
        <v>0.83270138897929413</v>
      </c>
      <c r="AH26">
        <f t="shared" ca="1" si="19"/>
        <v>0.83340229931127363</v>
      </c>
      <c r="AI26">
        <f t="shared" ca="1" si="19"/>
        <v>0.83367246167703946</v>
      </c>
      <c r="AM26" s="44"/>
    </row>
    <row r="27" spans="1:39">
      <c r="A27" t="s">
        <v>14</v>
      </c>
      <c r="B27" s="28">
        <f ca="1">fbar*C27</f>
        <v>0.20286720937372338</v>
      </c>
      <c r="C27" s="36">
        <f ca="1">CHOOSE(C$25,E36,E39,1)</f>
        <v>2.0835637388663404</v>
      </c>
      <c r="E27" s="42">
        <f ca="1">f1_/(F4/(f1_*365*re*phib))</f>
        <v>368.51137484174711</v>
      </c>
      <c r="J27" s="8" t="s">
        <v>31</v>
      </c>
      <c r="K27">
        <f t="shared" ref="K27:AI27" ca="1" si="20">qa2_/wa</f>
        <v>2.5918306387285868E-3</v>
      </c>
      <c r="L27">
        <f t="shared" ca="1" si="20"/>
        <v>3.3461376920824286E-2</v>
      </c>
      <c r="M27">
        <f t="shared" ca="1" si="20"/>
        <v>0.22801427806269475</v>
      </c>
      <c r="N27">
        <f t="shared" ca="1" si="20"/>
        <v>0.36453595627789503</v>
      </c>
      <c r="O27">
        <f t="shared" ca="1" si="20"/>
        <v>0.35294413404812269</v>
      </c>
      <c r="P27">
        <f t="shared" ca="1" si="20"/>
        <v>0.3244605957920067</v>
      </c>
      <c r="Q27">
        <f t="shared" ca="1" si="20"/>
        <v>0.29667615707182604</v>
      </c>
      <c r="R27">
        <f t="shared" ca="1" si="20"/>
        <v>0.27136701345708825</v>
      </c>
      <c r="S27">
        <f t="shared" ca="1" si="20"/>
        <v>0.24904510221209522</v>
      </c>
      <c r="T27">
        <f t="shared" ca="1" si="20"/>
        <v>0.22877484336300399</v>
      </c>
      <c r="U27">
        <f t="shared" ca="1" si="20"/>
        <v>0.21012810713076502</v>
      </c>
      <c r="V27">
        <f t="shared" ca="1" si="20"/>
        <v>0.19284439494972494</v>
      </c>
      <c r="W27">
        <f t="shared" ca="1" si="20"/>
        <v>0.17664607082995315</v>
      </c>
      <c r="X27">
        <f t="shared" ca="1" si="20"/>
        <v>0.16116030244506577</v>
      </c>
      <c r="Y27">
        <f t="shared" ca="1" si="20"/>
        <v>0.1460200502837577</v>
      </c>
      <c r="Z27">
        <f t="shared" ca="1" si="20"/>
        <v>0.14301528531627358</v>
      </c>
      <c r="AA27">
        <f t="shared" ca="1" si="20"/>
        <v>0.13996882254140888</v>
      </c>
      <c r="AB27">
        <f t="shared" ca="1" si="20"/>
        <v>0.13787821555777657</v>
      </c>
      <c r="AC27">
        <f t="shared" ca="1" si="20"/>
        <v>0.13679753264727329</v>
      </c>
      <c r="AD27">
        <f t="shared" ca="1" si="20"/>
        <v>0.13631979297661634</v>
      </c>
      <c r="AE27">
        <f t="shared" ca="1" si="20"/>
        <v>0.13612333726161274</v>
      </c>
      <c r="AF27">
        <f t="shared" ca="1" si="20"/>
        <v>0.13604500620209434</v>
      </c>
      <c r="AG27">
        <f t="shared" ca="1" si="20"/>
        <v>0.13601419749866561</v>
      </c>
      <c r="AH27">
        <f t="shared" ca="1" si="20"/>
        <v>0.13600218336130313</v>
      </c>
      <c r="AI27">
        <f t="shared" ca="1" si="20"/>
        <v>0.13599755237717734</v>
      </c>
    </row>
    <row r="28" spans="1:39">
      <c r="A28" t="s">
        <v>15</v>
      </c>
      <c r="B28" s="28">
        <f ca="1">fbar*C28</f>
        <v>6.9453794805088703E-2</v>
      </c>
      <c r="C28" s="36">
        <f ca="1">CHOOSE(C$25,E37,E40,1)</f>
        <v>0.71333069957086004</v>
      </c>
      <c r="E28" s="42">
        <f ca="1">f2_/(F5/(f2_*365*re*phib))</f>
        <v>115.83914733009671</v>
      </c>
      <c r="J28" s="8" t="s">
        <v>32</v>
      </c>
      <c r="K28">
        <f t="shared" ref="K28:AI28" ca="1" si="21">qa3_/wa</f>
        <v>2.0907757168105353E-5</v>
      </c>
      <c r="L28">
        <f t="shared" ca="1" si="21"/>
        <v>7.480083449037169E-5</v>
      </c>
      <c r="M28">
        <f t="shared" ca="1" si="21"/>
        <v>2.6539321932327227E-4</v>
      </c>
      <c r="N28">
        <f t="shared" ca="1" si="21"/>
        <v>9.3554726930518406E-4</v>
      </c>
      <c r="O28">
        <f t="shared" ca="1" si="21"/>
        <v>3.3362560009263039E-3</v>
      </c>
      <c r="P28">
        <f t="shared" ca="1" si="21"/>
        <v>3.0497121529149084E-2</v>
      </c>
      <c r="Q28">
        <f t="shared" ca="1" si="21"/>
        <v>0.47587304669755681</v>
      </c>
      <c r="R28">
        <f t="shared" ca="1" si="21"/>
        <v>0.85552857100582913</v>
      </c>
      <c r="S28">
        <f t="shared" ca="1" si="21"/>
        <v>0.90763320353835342</v>
      </c>
      <c r="T28">
        <f t="shared" ca="1" si="21"/>
        <v>0.853163314648128</v>
      </c>
      <c r="U28">
        <f t="shared" ca="1" si="21"/>
        <v>0.77609749273761641</v>
      </c>
      <c r="V28">
        <f t="shared" ca="1" si="21"/>
        <v>0.69951904097217421</v>
      </c>
      <c r="W28">
        <f t="shared" ca="1" si="21"/>
        <v>0.62796562685076196</v>
      </c>
      <c r="X28">
        <f t="shared" ca="1" si="21"/>
        <v>0.56117462348759284</v>
      </c>
      <c r="Y28">
        <f t="shared" ca="1" si="21"/>
        <v>0.49796920948759194</v>
      </c>
      <c r="Z28">
        <f t="shared" ca="1" si="21"/>
        <v>0.48772212059365994</v>
      </c>
      <c r="AA28">
        <f t="shared" ca="1" si="21"/>
        <v>0.47733283051476522</v>
      </c>
      <c r="AB28">
        <f t="shared" ca="1" si="21"/>
        <v>0.47020327601204087</v>
      </c>
      <c r="AC28">
        <f t="shared" ca="1" si="21"/>
        <v>0.46651784504824989</v>
      </c>
      <c r="AD28">
        <f t="shared" ca="1" si="21"/>
        <v>0.46488861915991742</v>
      </c>
      <c r="AE28">
        <f t="shared" ca="1" si="21"/>
        <v>0.46421865022818815</v>
      </c>
      <c r="AF28">
        <f t="shared" ca="1" si="21"/>
        <v>0.46395151940806501</v>
      </c>
      <c r="AG28">
        <f t="shared" ca="1" si="21"/>
        <v>0.46384645311297801</v>
      </c>
      <c r="AH28">
        <f t="shared" ca="1" si="21"/>
        <v>0.46380548154452955</v>
      </c>
      <c r="AI28">
        <f t="shared" ca="1" si="21"/>
        <v>0.46378968859349434</v>
      </c>
    </row>
    <row r="29" spans="1:39">
      <c r="A29" t="s">
        <v>19</v>
      </c>
      <c r="B29" s="28">
        <f ca="1">fbar*C29</f>
        <v>1.9775473009981798E-2</v>
      </c>
      <c r="C29" s="36">
        <f ca="1">CHOOSE(C$25,E38,E41,1)</f>
        <v>0.20310556156279935</v>
      </c>
      <c r="E29" s="42">
        <f ca="1">f3_/(F6/(f3_*365*re*phib))</f>
        <v>12.348140714064108</v>
      </c>
    </row>
    <row r="30" spans="1:39">
      <c r="A30" t="s">
        <v>95</v>
      </c>
      <c r="B30" s="28">
        <v>9.736549239626463E-2</v>
      </c>
      <c r="C30" s="36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0.29209647718879389</v>
      </c>
      <c r="G31">
        <f ca="1">SUMPRODUCT(dlz1_,wa,ma)</f>
        <v>-49.620820026186848</v>
      </c>
      <c r="H31">
        <f ca="1">Ro/(reck-1)*phie/phif^2*dphif</f>
        <v>-2908.4377904276371</v>
      </c>
      <c r="J31" s="8" t="s">
        <v>52</v>
      </c>
      <c r="K31">
        <v>0</v>
      </c>
      <c r="L31">
        <f t="shared" ref="L31:AH31" ca="1" si="22">K31*sa-K$7*K18*K$10</f>
        <v>-9.584341923148008E-8</v>
      </c>
      <c r="M31">
        <f t="shared" ca="1" si="22"/>
        <v>-2.9146247787398355E-7</v>
      </c>
      <c r="N31">
        <f t="shared" ca="1" si="22"/>
        <v>-6.9906070101314771E-7</v>
      </c>
      <c r="O31">
        <f t="shared" ca="1" si="22"/>
        <v>-1.5598734607807452E-6</v>
      </c>
      <c r="P31">
        <f t="shared" ca="1" si="22"/>
        <v>-3.4128360001094831E-6</v>
      </c>
      <c r="Q31">
        <f t="shared" ca="1" si="22"/>
        <v>-9.1495799608582483E-6</v>
      </c>
      <c r="R31">
        <f t="shared" ca="1" si="22"/>
        <v>-5.5708292996918634E-5</v>
      </c>
      <c r="S31">
        <f t="shared" ca="1" si="22"/>
        <v>-1.710875604432311E-4</v>
      </c>
      <c r="T31">
        <f t="shared" ca="1" si="22"/>
        <v>-4.0833280141294845E-4</v>
      </c>
      <c r="U31">
        <f t="shared" ca="1" si="22"/>
        <v>-9.0371360745719446E-4</v>
      </c>
      <c r="V31">
        <f t="shared" ca="1" si="22"/>
        <v>-1.9452151993780875E-3</v>
      </c>
      <c r="W31">
        <f t="shared" ca="1" si="22"/>
        <v>-4.1187282590686002E-3</v>
      </c>
      <c r="X31">
        <f t="shared" ca="1" si="22"/>
        <v>-8.5196249070708732E-3</v>
      </c>
      <c r="Y31">
        <f t="shared" ca="1" si="22"/>
        <v>-1.6777561596785888E-2</v>
      </c>
      <c r="Z31">
        <f t="shared" ca="1" si="22"/>
        <v>-2.9936376267103749E-2</v>
      </c>
      <c r="AA31">
        <f t="shared" ca="1" si="22"/>
        <v>-4.5622797253595027E-2</v>
      </c>
      <c r="AB31">
        <f t="shared" ca="1" si="22"/>
        <v>-5.7771360571463266E-2</v>
      </c>
      <c r="AC31">
        <f t="shared" ca="1" si="22"/>
        <v>-6.2286513660909468E-2</v>
      </c>
      <c r="AD31">
        <f t="shared" ca="1" si="22"/>
        <v>-5.9868439962431602E-2</v>
      </c>
      <c r="AE31">
        <f t="shared" ca="1" si="22"/>
        <v>-5.3314714162342305E-2</v>
      </c>
      <c r="AF31">
        <f t="shared" ca="1" si="22"/>
        <v>-4.5120127659313079E-2</v>
      </c>
      <c r="AG31">
        <f t="shared" ca="1" si="22"/>
        <v>-3.6864483858136295E-2</v>
      </c>
      <c r="AH31">
        <f t="shared" ca="1" si="22"/>
        <v>-2.9365582528224847E-2</v>
      </c>
      <c r="AI31">
        <f ca="1">(AH31*sa-AH$7*AH18*AH$10)/oa-AH$7*AH$10*flt1_*sa/oa^2</f>
        <v>-9.2852731775401778E-2</v>
      </c>
    </row>
    <row r="32" spans="1:39">
      <c r="A32" s="12" t="s">
        <v>22</v>
      </c>
      <c r="B32" s="12"/>
      <c r="C32" s="12"/>
      <c r="G32">
        <f ca="1">SUMPRODUCT(dlz2_,wa,ma)</f>
        <v>-125.0585392692862</v>
      </c>
      <c r="H32">
        <f ca="1">Ro/(reck-1)*phie/phif^2*dphif</f>
        <v>-7330.0880846894261</v>
      </c>
      <c r="J32" s="8" t="s">
        <v>53</v>
      </c>
      <c r="K32">
        <v>0</v>
      </c>
      <c r="L32">
        <f t="shared" ref="L32:AH32" ca="1" si="23">K32*sa-K$7*K19*K$10</f>
        <v>-2.4020619484217383E-3</v>
      </c>
      <c r="M32">
        <f t="shared" ca="1" si="23"/>
        <v>-2.8687161643505939E-2</v>
      </c>
      <c r="N32">
        <f t="shared" ca="1" si="23"/>
        <v>-0.17878783238170443</v>
      </c>
      <c r="O32">
        <f t="shared" ca="1" si="23"/>
        <v>-0.35802869773463419</v>
      </c>
      <c r="P32">
        <f t="shared" ca="1" si="23"/>
        <v>-0.46933603547858982</v>
      </c>
      <c r="Q32">
        <f t="shared" ca="1" si="23"/>
        <v>-0.52107350551159648</v>
      </c>
      <c r="R32">
        <f t="shared" ca="1" si="23"/>
        <v>-0.53068754569198073</v>
      </c>
      <c r="S32">
        <f t="shared" ca="1" si="23"/>
        <v>-0.51487511828906818</v>
      </c>
      <c r="T32">
        <f t="shared" ca="1" si="23"/>
        <v>-0.48463226866495812</v>
      </c>
      <c r="U32">
        <f t="shared" ca="1" si="23"/>
        <v>-0.44669250418181811</v>
      </c>
      <c r="V32">
        <f t="shared" ca="1" si="23"/>
        <v>-0.40494826533229433</v>
      </c>
      <c r="W32">
        <f t="shared" ca="1" si="23"/>
        <v>-0.36115564924572957</v>
      </c>
      <c r="X32">
        <f t="shared" ca="1" si="23"/>
        <v>-0.31525086821404652</v>
      </c>
      <c r="Y32">
        <f t="shared" ca="1" si="23"/>
        <v>-0.26616919018771074</v>
      </c>
      <c r="Z32">
        <f t="shared" ca="1" si="23"/>
        <v>-0.21408318173729704</v>
      </c>
      <c r="AA32">
        <f t="shared" ca="1" si="23"/>
        <v>-0.16452293685303837</v>
      </c>
      <c r="AB32">
        <f t="shared" ca="1" si="23"/>
        <v>-0.12235913332369119</v>
      </c>
      <c r="AC32">
        <f t="shared" ca="1" si="23"/>
        <v>-8.9350101683687386E-2</v>
      </c>
      <c r="AD32">
        <f t="shared" ca="1" si="23"/>
        <v>-6.4639633579061606E-2</v>
      </c>
      <c r="AE32">
        <f t="shared" ca="1" si="23"/>
        <v>-4.6529970463057173E-2</v>
      </c>
      <c r="AF32">
        <f t="shared" ca="1" si="23"/>
        <v>-3.3391353740826059E-2</v>
      </c>
      <c r="AG32">
        <f t="shared" ca="1" si="23"/>
        <v>-2.3909883216039679E-2</v>
      </c>
      <c r="AH32">
        <f t="shared" ca="1" si="23"/>
        <v>-1.7090097727283215E-2</v>
      </c>
      <c r="AI32">
        <f ca="1">(AH32*sa-AH$7*AH19*AH$10)/oa-AH$7*AH$10*flt2_*sa/oa^2</f>
        <v>-4.2167009617351286E-2</v>
      </c>
    </row>
    <row r="33" spans="1:35">
      <c r="A33" s="59" t="s">
        <v>130</v>
      </c>
      <c r="B33" s="60">
        <f ca="1">SUMPRODUCT(lz,wa)</f>
        <v>76.986209367168925</v>
      </c>
      <c r="C33" s="59"/>
      <c r="D33" s="61"/>
      <c r="E33" s="61"/>
      <c r="G33">
        <f ca="1">SUMPRODUCT(dlz3_,wa,ma)</f>
        <v>-236.16095428361183</v>
      </c>
      <c r="H33">
        <f ca="1">Ro/(reck-1)*phie/phif^2*dphif</f>
        <v>-13842.162295976319</v>
      </c>
      <c r="J33" s="8" t="s">
        <v>54</v>
      </c>
      <c r="K33">
        <v>0</v>
      </c>
      <c r="L33">
        <f t="shared" ref="L33:AH33" ca="1" si="24">K33*sa-K$7*K20*K$10</f>
        <v>-1.9376932724656651E-5</v>
      </c>
      <c r="M33">
        <f t="shared" ca="1" si="24"/>
        <v>-7.5978912808063168E-5</v>
      </c>
      <c r="N33">
        <f t="shared" ca="1" si="24"/>
        <v>-2.4375381488602366E-4</v>
      </c>
      <c r="O33">
        <f t="shared" ca="1" si="24"/>
        <v>-7.3861740030885768E-4</v>
      </c>
      <c r="P33">
        <f t="shared" ca="1" si="24"/>
        <v>-2.2160213178817139E-3</v>
      </c>
      <c r="Q33">
        <f t="shared" ca="1" si="24"/>
        <v>-1.4081418644623641E-2</v>
      </c>
      <c r="R33">
        <f t="shared" ca="1" si="24"/>
        <v>-0.17125936187974744</v>
      </c>
      <c r="S33">
        <f t="shared" ca="1" si="24"/>
        <v>-0.37996432488122567</v>
      </c>
      <c r="T33">
        <f t="shared" ca="1" si="24"/>
        <v>-0.52444349116310573</v>
      </c>
      <c r="U33">
        <f t="shared" ca="1" si="24"/>
        <v>-0.59905230874325988</v>
      </c>
      <c r="V33">
        <f t="shared" ca="1" si="24"/>
        <v>-0.62149496347535227</v>
      </c>
      <c r="W33">
        <f t="shared" ca="1" si="24"/>
        <v>-0.6075381611763222</v>
      </c>
      <c r="X33">
        <f t="shared" ca="1" si="24"/>
        <v>-0.56656864838430909</v>
      </c>
      <c r="Y33">
        <f t="shared" ca="1" si="24"/>
        <v>-0.50287782286200633</v>
      </c>
      <c r="Z33">
        <f t="shared" ca="1" si="24"/>
        <v>-0.42068004386420277</v>
      </c>
      <c r="AA33">
        <f t="shared" ca="1" si="24"/>
        <v>-0.33506418121315812</v>
      </c>
      <c r="AB33">
        <f t="shared" ca="1" si="24"/>
        <v>-0.25736709308783984</v>
      </c>
      <c r="AC33">
        <f t="shared" ca="1" si="24"/>
        <v>-0.1934383480981019</v>
      </c>
      <c r="AD33">
        <f t="shared" ca="1" si="24"/>
        <v>-0.14358925893518401</v>
      </c>
      <c r="AE33">
        <f t="shared" ca="1" si="24"/>
        <v>-0.10576601220170384</v>
      </c>
      <c r="AF33">
        <f t="shared" ca="1" si="24"/>
        <v>-7.7485060080050627E-2</v>
      </c>
      <c r="AG33">
        <f t="shared" ca="1" si="24"/>
        <v>-5.6527106726659365E-2</v>
      </c>
      <c r="AH33">
        <f t="shared" ca="1" si="24"/>
        <v>-4.1092754808526914E-2</v>
      </c>
      <c r="AI33">
        <f ca="1">(AH33*sa-AH$7*AH20*AH$10)/oa-AH$7*AH$10*flt3_*sa/oa^2</f>
        <v>-0.10604070678778152</v>
      </c>
    </row>
    <row r="34" spans="1:35">
      <c r="A34" t="s">
        <v>28</v>
      </c>
      <c r="B34" s="1">
        <f>SUMPRODUCT(lx,wa,ma)</f>
        <v>98.456800157683801</v>
      </c>
      <c r="G34" t="s">
        <v>57</v>
      </c>
      <c r="J34" s="8"/>
    </row>
    <row r="35" spans="1:35">
      <c r="A35" t="s">
        <v>27</v>
      </c>
      <c r="B35" s="1">
        <f ca="1">SUMPRODUCT(lz,wa,ma)</f>
        <v>39.382722605924421</v>
      </c>
      <c r="F35" s="37"/>
      <c r="G35" s="1">
        <f ca="1">SUM(dqa11_)</f>
        <v>674.42189467885987</v>
      </c>
      <c r="H35" s="1">
        <f ca="1">SUM(dqa12_)</f>
        <v>678.42706632490945</v>
      </c>
      <c r="I35" s="11">
        <f ca="1">SUM(dqa13_)</f>
        <v>675.63913559762875</v>
      </c>
      <c r="J35" s="8" t="s">
        <v>62</v>
      </c>
      <c r="K35">
        <f ca="1">flt1_*qa1_+lz*wa*flt1_^2/za*(sa-oa/za)</f>
        <v>4.1415205407901447E-16</v>
      </c>
      <c r="L35">
        <f t="shared" ref="L35:AI35" ca="1" si="25">flt1_*qa1_+lz*wa*flt1_^2/za*(sa-oa/za)</f>
        <v>2.0190636882327215E-14</v>
      </c>
      <c r="M35">
        <f t="shared" ca="1" si="25"/>
        <v>4.3840135594121511E-13</v>
      </c>
      <c r="N35">
        <f t="shared" ca="1" si="25"/>
        <v>6.6933398981291329E-12</v>
      </c>
      <c r="O35">
        <f t="shared" ca="1" si="25"/>
        <v>8.4966826951918759E-11</v>
      </c>
      <c r="P35">
        <f t="shared" ca="1" si="25"/>
        <v>1.8075545744536049E-9</v>
      </c>
      <c r="Q35">
        <f t="shared" ca="1" si="25"/>
        <v>2.2893471887900658E-7</v>
      </c>
      <c r="R35">
        <f t="shared" ca="1" si="25"/>
        <v>3.173531115202809E-6</v>
      </c>
      <c r="S35">
        <f t="shared" ca="1" si="25"/>
        <v>2.8175243749863389E-5</v>
      </c>
      <c r="T35">
        <f t="shared" ca="1" si="25"/>
        <v>2.3570271247955031E-4</v>
      </c>
      <c r="U35">
        <f t="shared" ca="1" si="25"/>
        <v>1.8916281456395133E-3</v>
      </c>
      <c r="V35">
        <f t="shared" ca="1" si="25"/>
        <v>1.4521361577319722E-2</v>
      </c>
      <c r="W35">
        <f t="shared" ca="1" si="25"/>
        <v>0.10463893283151854</v>
      </c>
      <c r="X35">
        <f t="shared" ca="1" si="25"/>
        <v>0.67297553851512959</v>
      </c>
      <c r="Y35">
        <f t="shared" ca="1" si="25"/>
        <v>3.4870362128329635</v>
      </c>
      <c r="Z35">
        <f t="shared" ca="1" si="25"/>
        <v>12.63027532658842</v>
      </c>
      <c r="AA35">
        <f t="shared" ca="1" si="25"/>
        <v>29.558701429910705</v>
      </c>
      <c r="AB35">
        <f t="shared" ca="1" si="25"/>
        <v>47.876706584310561</v>
      </c>
      <c r="AC35">
        <f t="shared" ca="1" si="25"/>
        <v>61.983261950111583</v>
      </c>
      <c r="AD35">
        <f t="shared" ca="1" si="25"/>
        <v>71.777735354195315</v>
      </c>
      <c r="AE35">
        <f t="shared" ca="1" si="25"/>
        <v>78.945281841981171</v>
      </c>
      <c r="AF35">
        <f t="shared" ca="1" si="25"/>
        <v>84.734776122959587</v>
      </c>
      <c r="AG35">
        <f t="shared" ca="1" si="25"/>
        <v>89.791112141527009</v>
      </c>
      <c r="AH35">
        <f t="shared" ca="1" si="25"/>
        <v>94.40871525051881</v>
      </c>
      <c r="AI35">
        <f t="shared" ca="1" si="25"/>
        <v>98.433997720532417</v>
      </c>
    </row>
    <row r="36" spans="1:35">
      <c r="A36" t="s">
        <v>33</v>
      </c>
      <c r="B36" s="1">
        <f ca="1">SUMPRODUCT(lz,ta1_)</f>
        <v>0.19260722079991002</v>
      </c>
      <c r="C36" s="29">
        <f ca="1">B11/(phi_t1/SUM(B$36:B$38))</f>
        <v>3.7582043125759022</v>
      </c>
      <c r="E36" s="38">
        <f ca="1">C36/AVERAGE(C$36:C$38)</f>
        <v>2.0835637388663408</v>
      </c>
      <c r="G36" s="1">
        <f ca="1">SUM(dqa21_)</f>
        <v>678.42706632490945</v>
      </c>
      <c r="H36" s="1">
        <f ca="1">SUM(dqa22_)</f>
        <v>34.431943666258903</v>
      </c>
      <c r="I36" s="11">
        <f ca="1">SUM(dqa23_)</f>
        <v>674.94638145490615</v>
      </c>
      <c r="J36" s="8" t="s">
        <v>63</v>
      </c>
      <c r="K36">
        <f t="shared" ref="K36:AI36" ca="1" si="26">flt2_*qa2_+lz*wa*flt2_^2/za*(sa-oa/za)</f>
        <v>2.6013789940507498E-7</v>
      </c>
      <c r="L36">
        <f t="shared" ca="1" si="26"/>
        <v>3.2412476258725958E-4</v>
      </c>
      <c r="M36">
        <f t="shared" ca="1" si="26"/>
        <v>5.0716377062148571E-2</v>
      </c>
      <c r="N36">
        <f t="shared" ca="1" si="26"/>
        <v>0.30581540189372086</v>
      </c>
      <c r="O36">
        <f t="shared" ca="1" si="26"/>
        <v>0.54741146437839294</v>
      </c>
      <c r="P36">
        <f t="shared" ca="1" si="26"/>
        <v>0.77000993608523871</v>
      </c>
      <c r="Q36">
        <f t="shared" ca="1" si="26"/>
        <v>0.97822616879916757</v>
      </c>
      <c r="R36">
        <f t="shared" ca="1" si="26"/>
        <v>1.1598986150325945</v>
      </c>
      <c r="S36">
        <f t="shared" ca="1" si="26"/>
        <v>1.3078602706720166</v>
      </c>
      <c r="T36">
        <f t="shared" ca="1" si="26"/>
        <v>1.4138808399593996</v>
      </c>
      <c r="U36">
        <f t="shared" ca="1" si="26"/>
        <v>1.4762595379759369</v>
      </c>
      <c r="V36">
        <f t="shared" ca="1" si="26"/>
        <v>1.4973566878771385</v>
      </c>
      <c r="W36">
        <f t="shared" ca="1" si="26"/>
        <v>1.4811593149941438</v>
      </c>
      <c r="X36">
        <f t="shared" ca="1" si="26"/>
        <v>1.4315182952173615</v>
      </c>
      <c r="Y36">
        <f t="shared" ca="1" si="26"/>
        <v>1.352231804970333</v>
      </c>
      <c r="Z36">
        <f t="shared" ca="1" si="26"/>
        <v>1.4847750963168163</v>
      </c>
      <c r="AA36">
        <f t="shared" ca="1" si="26"/>
        <v>1.6102521141484936</v>
      </c>
      <c r="AB36">
        <f t="shared" ca="1" si="26"/>
        <v>1.7390474256121644</v>
      </c>
      <c r="AC36">
        <f t="shared" ca="1" si="26"/>
        <v>1.8731887023160145</v>
      </c>
      <c r="AD36">
        <f t="shared" ca="1" si="26"/>
        <v>2.0088301277052314</v>
      </c>
      <c r="AE36">
        <f t="shared" ca="1" si="26"/>
        <v>2.1423086071311674</v>
      </c>
      <c r="AF36">
        <f t="shared" ca="1" si="26"/>
        <v>2.2715662400068228</v>
      </c>
      <c r="AG36">
        <f t="shared" ca="1" si="26"/>
        <v>2.3956493973743291</v>
      </c>
      <c r="AH36">
        <f t="shared" ca="1" si="26"/>
        <v>2.5141689587585039</v>
      </c>
      <c r="AI36">
        <f t="shared" ca="1" si="26"/>
        <v>2.6194878970712798</v>
      </c>
    </row>
    <row r="37" spans="1:35">
      <c r="A37" t="s">
        <v>34</v>
      </c>
      <c r="B37" s="1">
        <f ca="1">SUMPRODUCT(lz,ta2_)</f>
        <v>1.2049043071363619</v>
      </c>
      <c r="C37" s="29">
        <f ca="1">B12/(phi_t2/SUM(B$36:B$38))</f>
        <v>1.2866621075286266</v>
      </c>
      <c r="E37" s="38">
        <f ca="1">C37/AVERAGE(C$36:C$38)</f>
        <v>0.71333069957085993</v>
      </c>
      <c r="G37" s="1">
        <f ca="1">SUM(dqa31_)</f>
        <v>675.63913559762875</v>
      </c>
      <c r="H37" s="1">
        <f ca="1">SUM(dqa32_)</f>
        <v>674.94638145490615</v>
      </c>
      <c r="I37" s="1">
        <f ca="1">SUM(dqa33_)</f>
        <v>382.9966213072949</v>
      </c>
      <c r="J37" s="8" t="s">
        <v>64</v>
      </c>
      <c r="K37">
        <f t="shared" ref="K37:AI37" ca="1" si="27">flt3_*qa3_+lz*wa*flt3_^2/za*(sa-oa/za)</f>
        <v>1.6927985752054593E-11</v>
      </c>
      <c r="L37">
        <f t="shared" ca="1" si="27"/>
        <v>1.6197108131252375E-9</v>
      </c>
      <c r="M37">
        <f t="shared" ca="1" si="27"/>
        <v>6.8707442219889167E-8</v>
      </c>
      <c r="N37">
        <f t="shared" ca="1" si="27"/>
        <v>2.0142347380697647E-6</v>
      </c>
      <c r="O37">
        <f t="shared" ca="1" si="27"/>
        <v>4.8912593139090437E-5</v>
      </c>
      <c r="P37">
        <f t="shared" ca="1" si="27"/>
        <v>6.8028376623916658E-3</v>
      </c>
      <c r="Q37">
        <f t="shared" ca="1" si="27"/>
        <v>2.5168434407537923</v>
      </c>
      <c r="R37">
        <f t="shared" ca="1" si="27"/>
        <v>11.528557107696246</v>
      </c>
      <c r="S37">
        <f t="shared" ca="1" si="27"/>
        <v>17.371050669025447</v>
      </c>
      <c r="T37">
        <f t="shared" ca="1" si="27"/>
        <v>19.663490903036266</v>
      </c>
      <c r="U37">
        <f t="shared" ca="1" si="27"/>
        <v>20.138493570973111</v>
      </c>
      <c r="V37">
        <f t="shared" ca="1" si="27"/>
        <v>19.701999632532601</v>
      </c>
      <c r="W37">
        <f t="shared" ca="1" si="27"/>
        <v>18.718263437320356</v>
      </c>
      <c r="X37">
        <f t="shared" ca="1" si="27"/>
        <v>17.357085509413576</v>
      </c>
      <c r="Y37">
        <f t="shared" ca="1" si="27"/>
        <v>15.726465973087318</v>
      </c>
      <c r="Z37">
        <f t="shared" ca="1" si="27"/>
        <v>17.267945439595795</v>
      </c>
      <c r="AA37">
        <f t="shared" ca="1" si="27"/>
        <v>18.727244092445957</v>
      </c>
      <c r="AB37">
        <f t="shared" ca="1" si="27"/>
        <v>20.225134524975047</v>
      </c>
      <c r="AC37">
        <f t="shared" ca="1" si="27"/>
        <v>21.785198573103152</v>
      </c>
      <c r="AD37">
        <f t="shared" ca="1" si="27"/>
        <v>23.362709361626116</v>
      </c>
      <c r="AE37">
        <f t="shared" ca="1" si="27"/>
        <v>24.915065072470725</v>
      </c>
      <c r="AF37">
        <f t="shared" ca="1" si="27"/>
        <v>26.418332306467935</v>
      </c>
      <c r="AG37">
        <f t="shared" ca="1" si="27"/>
        <v>27.861420351728146</v>
      </c>
      <c r="AH37">
        <f t="shared" ca="1" si="27"/>
        <v>29.239803734223994</v>
      </c>
      <c r="AI37">
        <f t="shared" ca="1" si="27"/>
        <v>30.464663771984956</v>
      </c>
    </row>
    <row r="38" spans="1:35">
      <c r="A38" t="s">
        <v>35</v>
      </c>
      <c r="B38" s="1">
        <f ca="1">SUMPRODUCT(lz,ta3_)</f>
        <v>1.383491769688014</v>
      </c>
      <c r="C38" s="29">
        <f ca="1">B13/(phi_t3/SUM(B$36:B$38))</f>
        <v>0.36634933846025663</v>
      </c>
      <c r="E38" s="38">
        <f ca="1">C38/AVERAGE(C$36:C$38)</f>
        <v>0.20310556156279932</v>
      </c>
      <c r="G38" t="s">
        <v>69</v>
      </c>
      <c r="J38" s="8" t="s">
        <v>60</v>
      </c>
      <c r="K38">
        <f t="shared" ref="K38:AI38" ca="1" si="28">flt1_*qa1_+lz*wa*flt2_*flt1_/za*(sa-oa/za)</f>
        <v>-9.8720410201492451E-12</v>
      </c>
      <c r="L38">
        <f t="shared" ca="1" si="28"/>
        <v>-1.8474122146098838E-9</v>
      </c>
      <c r="M38">
        <f t="shared" ca="1" si="28"/>
        <v>-8.3554445554349521E-8</v>
      </c>
      <c r="N38">
        <f t="shared" ca="1" si="28"/>
        <v>-6.2277902545370582E-7</v>
      </c>
      <c r="O38">
        <f t="shared" ca="1" si="28"/>
        <v>-2.3213955754094698E-6</v>
      </c>
      <c r="P38">
        <f t="shared" ca="1" si="28"/>
        <v>-1.0086069172976356E-5</v>
      </c>
      <c r="Q38">
        <f t="shared" ca="1" si="28"/>
        <v>-1.0248290350560033E-4</v>
      </c>
      <c r="R38">
        <f t="shared" ca="1" si="28"/>
        <v>-3.3067224025219911E-4</v>
      </c>
      <c r="S38">
        <f t="shared" ca="1" si="28"/>
        <v>-8.179020114351147E-4</v>
      </c>
      <c r="T38">
        <f t="shared" ca="1" si="28"/>
        <v>-1.8048942224694676E-3</v>
      </c>
      <c r="U38">
        <f t="shared" ca="1" si="28"/>
        <v>-2.8076981111972788E-3</v>
      </c>
      <c r="V38">
        <f t="shared" ca="1" si="28"/>
        <v>4.481221260410867E-3</v>
      </c>
      <c r="W38">
        <f t="shared" ca="1" si="28"/>
        <v>8.6716977704907716E-2</v>
      </c>
      <c r="X38">
        <f t="shared" ca="1" si="28"/>
        <v>0.65731557972454735</v>
      </c>
      <c r="Y38">
        <f t="shared" ca="1" si="28"/>
        <v>3.5409905352564395</v>
      </c>
      <c r="Z38">
        <f t="shared" ca="1" si="28"/>
        <v>12.897646371616254</v>
      </c>
      <c r="AA38">
        <f t="shared" ca="1" si="28"/>
        <v>30.107928456661696</v>
      </c>
      <c r="AB38">
        <f t="shared" ca="1" si="28"/>
        <v>48.554487933246946</v>
      </c>
      <c r="AC38">
        <f t="shared" ca="1" si="28"/>
        <v>62.611878336250982</v>
      </c>
      <c r="AD38">
        <f t="shared" ca="1" si="28"/>
        <v>72.285702588488647</v>
      </c>
      <c r="AE38">
        <f t="shared" ca="1" si="28"/>
        <v>79.33110835278606</v>
      </c>
      <c r="AF38">
        <f t="shared" ca="1" si="28"/>
        <v>85.019675089061991</v>
      </c>
      <c r="AG38">
        <f t="shared" ca="1" si="28"/>
        <v>89.998545497732849</v>
      </c>
      <c r="AH38">
        <f t="shared" ca="1" si="28"/>
        <v>94.558522401203589</v>
      </c>
      <c r="AI38">
        <f t="shared" ca="1" si="28"/>
        <v>98.777943749058551</v>
      </c>
    </row>
    <row r="39" spans="1:35">
      <c r="A39" s="1" t="s">
        <v>36</v>
      </c>
      <c r="B39" s="1">
        <f ca="1">SUMPRODUCT(lz,qa1_)</f>
        <v>14.75681224605189</v>
      </c>
      <c r="C39" s="23">
        <f ca="1">B4/(phi_q1/SUM(B$39:B$41))</f>
        <v>3.0173230607275281</v>
      </c>
      <c r="D39" s="21"/>
      <c r="E39" s="39">
        <f ca="1">C39/AVERAGE(C$39:C$41)</f>
        <v>2.0834746364931047</v>
      </c>
      <c r="G39" s="1">
        <f ca="1">re*phi_q1+f1_*phi_q1*$H31+f1_*re*G35</f>
        <v>1320867.0470781215</v>
      </c>
      <c r="H39" s="1">
        <f ca="1">re*phi_q1+f1_*phi_q1*$H32+f1_*re*H35</f>
        <v>1314757.258297676</v>
      </c>
      <c r="I39" s="1">
        <f ca="1">re*phi_q1+f1_*phi_q1*$H33+f1_*re*I35</f>
        <v>1290301.1233342714</v>
      </c>
      <c r="J39" s="8" t="s">
        <v>66</v>
      </c>
      <c r="K39">
        <f t="shared" ref="K39:AI39" ca="1" si="29">flt1_*qa1_+lz*wa*flt3_*flt1_/za*(sa-oa/za)</f>
        <v>-7.88341310264436E-14</v>
      </c>
      <c r="L39">
        <f t="shared" ca="1" si="29"/>
        <v>-4.0950814939081185E-12</v>
      </c>
      <c r="M39">
        <f t="shared" ca="1" si="29"/>
        <v>-9.6568465824738486E-11</v>
      </c>
      <c r="N39">
        <f t="shared" ca="1" si="29"/>
        <v>-1.5887215328636681E-9</v>
      </c>
      <c r="O39">
        <f t="shared" ca="1" si="29"/>
        <v>-2.1830517960908798E-8</v>
      </c>
      <c r="P39">
        <f t="shared" ca="1" si="29"/>
        <v>-9.459424077398565E-7</v>
      </c>
      <c r="Q39">
        <f t="shared" ca="1" si="29"/>
        <v>-1.6455243571905322E-4</v>
      </c>
      <c r="R39">
        <f t="shared" ca="1" si="29"/>
        <v>-1.0505201680704535E-3</v>
      </c>
      <c r="S39">
        <f t="shared" ca="1" si="29"/>
        <v>-3.0657469089165543E-3</v>
      </c>
      <c r="T39">
        <f t="shared" ca="1" si="29"/>
        <v>-7.4470846021121896E-3</v>
      </c>
      <c r="U39">
        <f t="shared" ca="1" si="29"/>
        <v>-1.5935001896143695E-2</v>
      </c>
      <c r="V39">
        <f t="shared" ca="1" si="29"/>
        <v>-2.4779552324303726E-2</v>
      </c>
      <c r="W39">
        <f t="shared" ca="1" si="29"/>
        <v>2.4350984846348636E-2</v>
      </c>
      <c r="X39">
        <f t="shared" ca="1" si="29"/>
        <v>0.53366624119768336</v>
      </c>
      <c r="Y39">
        <f t="shared" ca="1" si="29"/>
        <v>3.3263386437770701</v>
      </c>
      <c r="Z39">
        <f t="shared" ca="1" si="29"/>
        <v>12.561404692884683</v>
      </c>
      <c r="AA39">
        <f t="shared" ca="1" si="29"/>
        <v>29.70488133311191</v>
      </c>
      <c r="AB39">
        <f t="shared" ca="1" si="29"/>
        <v>48.169824832877019</v>
      </c>
      <c r="AC39">
        <f t="shared" ca="1" si="29"/>
        <v>62.293059971118588</v>
      </c>
      <c r="AD39">
        <f t="shared" ca="1" si="29"/>
        <v>72.039729584826873</v>
      </c>
      <c r="AE39">
        <f t="shared" ca="1" si="29"/>
        <v>79.147703180964626</v>
      </c>
      <c r="AF39">
        <f t="shared" ca="1" si="29"/>
        <v>84.885230181089469</v>
      </c>
      <c r="AG39">
        <f t="shared" ca="1" si="29"/>
        <v>89.900935916436993</v>
      </c>
      <c r="AH39">
        <f t="shared" ca="1" si="29"/>
        <v>94.488107617834913</v>
      </c>
      <c r="AI39">
        <f t="shared" ca="1" si="29"/>
        <v>98.616345844460199</v>
      </c>
    </row>
    <row r="40" spans="1:35">
      <c r="A40" s="1" t="s">
        <v>37</v>
      </c>
      <c r="B40" s="1">
        <f ca="1">SUMPRODUCT(lz,qa2_)</f>
        <v>16.072085047560464</v>
      </c>
      <c r="C40" s="23">
        <f ca="1">B5/(phi_q2/SUM(B$39:B$41))</f>
        <v>1.0332007843748758</v>
      </c>
      <c r="D40" s="21"/>
      <c r="E40" s="39">
        <f ca="1">C40/AVERAGE(C$39:C$41)</f>
        <v>0.71342961470317168</v>
      </c>
      <c r="G40" s="1">
        <f ca="1">re*phi_q1+f1_*phi_q1*$H32+f1_*re*G36</f>
        <v>1314757.258297676</v>
      </c>
      <c r="H40" s="1">
        <f ca="1">re*phi_q2+f2_*phi_q2*$H32+f2_*re*H36</f>
        <v>153774.60702726166</v>
      </c>
      <c r="I40" s="1">
        <f ca="1">re*phi_q3+f3_*phi_q3*$H33+f3_*re*I36</f>
        <v>481895.16283312329</v>
      </c>
      <c r="J40" s="8" t="s">
        <v>65</v>
      </c>
      <c r="K40">
        <f t="shared" ref="K40:AI40" ca="1" si="30">flt1_*qa1_+lz*wa*flt1_*flt2_/za*(sa-oa/za)</f>
        <v>-9.8720410201492467E-12</v>
      </c>
      <c r="L40">
        <f t="shared" ca="1" si="30"/>
        <v>-1.8474122146098844E-9</v>
      </c>
      <c r="M40">
        <f t="shared" ca="1" si="30"/>
        <v>-8.3554445554349521E-8</v>
      </c>
      <c r="N40">
        <f t="shared" ca="1" si="30"/>
        <v>-6.2277902545370582E-7</v>
      </c>
      <c r="O40">
        <f t="shared" ca="1" si="30"/>
        <v>-2.3213955754094698E-6</v>
      </c>
      <c r="P40">
        <f t="shared" ca="1" si="30"/>
        <v>-1.0086069172976356E-5</v>
      </c>
      <c r="Q40">
        <f t="shared" ca="1" si="30"/>
        <v>-1.0248290350560033E-4</v>
      </c>
      <c r="R40">
        <f t="shared" ca="1" si="30"/>
        <v>-3.3067224025219911E-4</v>
      </c>
      <c r="S40">
        <f t="shared" ca="1" si="30"/>
        <v>-8.179020114351147E-4</v>
      </c>
      <c r="T40">
        <f t="shared" ca="1" si="30"/>
        <v>-1.8048942224694676E-3</v>
      </c>
      <c r="U40">
        <f t="shared" ca="1" si="30"/>
        <v>-2.8076981111972796E-3</v>
      </c>
      <c r="V40">
        <f t="shared" ca="1" si="30"/>
        <v>4.4812212604108635E-3</v>
      </c>
      <c r="W40">
        <f t="shared" ca="1" si="30"/>
        <v>8.6716977704907716E-2</v>
      </c>
      <c r="X40">
        <f t="shared" ca="1" si="30"/>
        <v>0.65731557972454735</v>
      </c>
      <c r="Y40">
        <f t="shared" ca="1" si="30"/>
        <v>3.5409905352564395</v>
      </c>
      <c r="Z40">
        <f t="shared" ca="1" si="30"/>
        <v>12.897646371616254</v>
      </c>
      <c r="AA40">
        <f t="shared" ca="1" si="30"/>
        <v>30.107928456661696</v>
      </c>
      <c r="AB40">
        <f t="shared" ca="1" si="30"/>
        <v>48.554487933246946</v>
      </c>
      <c r="AC40">
        <f t="shared" ca="1" si="30"/>
        <v>62.611878336250982</v>
      </c>
      <c r="AD40">
        <f t="shared" ca="1" si="30"/>
        <v>72.285702588488647</v>
      </c>
      <c r="AE40">
        <f t="shared" ca="1" si="30"/>
        <v>79.33110835278606</v>
      </c>
      <c r="AF40">
        <f t="shared" ca="1" si="30"/>
        <v>85.019675089061991</v>
      </c>
      <c r="AG40">
        <f t="shared" ca="1" si="30"/>
        <v>89.998545497732849</v>
      </c>
      <c r="AH40">
        <f t="shared" ca="1" si="30"/>
        <v>94.558522401203589</v>
      </c>
      <c r="AI40">
        <f t="shared" ca="1" si="30"/>
        <v>98.777943749058551</v>
      </c>
    </row>
    <row r="41" spans="1:35">
      <c r="A41" s="1" t="s">
        <v>38</v>
      </c>
      <c r="B41" s="1">
        <f ca="1">SUMPRODUCT(lz,qa3_)</f>
        <v>42.929606202251975</v>
      </c>
      <c r="C41" s="23">
        <f ca="1">B6/(phi_q3/SUM(B$39:B$41))</f>
        <v>0.29412668417824966</v>
      </c>
      <c r="D41" s="21"/>
      <c r="E41" s="39">
        <f ca="1">C41/AVERAGE(C$39:C$41)</f>
        <v>0.20309574880372375</v>
      </c>
      <c r="G41" s="1">
        <f ca="1">re*phi_q1+f1_*phi_q1*$H33+f1_*re*G37</f>
        <v>1290301.1233342714</v>
      </c>
      <c r="H41" s="1">
        <f ca="1">re*phi_q3+f3_*phi_q3*$H33+f3_*re*H37</f>
        <v>481895.16283312329</v>
      </c>
      <c r="I41" s="1">
        <f ca="1">re*phi_q3+f1_*phi_q3*$H33+f3_*re*I37</f>
        <v>322451.898093478</v>
      </c>
      <c r="J41" s="8" t="s">
        <v>67</v>
      </c>
      <c r="K41">
        <f t="shared" ref="K41:AI41" ca="1" si="31">flt1_*qa1_+lz*wa*flt3_*flt2_/za*(sa-oa/za)</f>
        <v>-1.996020769768273E-9</v>
      </c>
      <c r="L41">
        <f t="shared" ca="1" si="31"/>
        <v>-5.2325777196752725E-7</v>
      </c>
      <c r="M41">
        <f t="shared" ca="1" si="31"/>
        <v>-3.3077985658442271E-5</v>
      </c>
      <c r="N41">
        <f t="shared" ca="1" si="31"/>
        <v>-3.4164436791649197E-4</v>
      </c>
      <c r="O41">
        <f t="shared" ca="1" si="31"/>
        <v>-1.7613922230270336E-3</v>
      </c>
      <c r="P41">
        <f t="shared" ca="1" si="31"/>
        <v>-1.9571319296899373E-2</v>
      </c>
      <c r="Q41">
        <f t="shared" ca="1" si="31"/>
        <v>-0.3407238742802417</v>
      </c>
      <c r="R41">
        <f t="shared" ca="1" si="31"/>
        <v>-0.63735059876381162</v>
      </c>
      <c r="S41">
        <f t="shared" ca="1" si="31"/>
        <v>-0.66740394283972615</v>
      </c>
      <c r="T41">
        <f t="shared" ca="1" si="31"/>
        <v>-0.59684046050063455</v>
      </c>
      <c r="U41">
        <f t="shared" ca="1" si="31"/>
        <v>-0.50081157793583353</v>
      </c>
      <c r="V41">
        <f t="shared" ca="1" si="31"/>
        <v>-0.3946002946593769</v>
      </c>
      <c r="W41">
        <f t="shared" ca="1" si="31"/>
        <v>-0.215350934900917</v>
      </c>
      <c r="X41">
        <f t="shared" ca="1" si="31"/>
        <v>0.45413653518659103</v>
      </c>
      <c r="Y41">
        <f t="shared" ca="1" si="31"/>
        <v>3.4409199012017324</v>
      </c>
      <c r="Z41">
        <f t="shared" ca="1" si="31"/>
        <v>12.874032999694132</v>
      </c>
      <c r="AA41">
        <f t="shared" ca="1" si="31"/>
        <v>30.14204711411244</v>
      </c>
      <c r="AB41">
        <f t="shared" ca="1" si="31"/>
        <v>48.610352500124243</v>
      </c>
      <c r="AC41">
        <f t="shared" ca="1" si="31"/>
        <v>62.665734100120027</v>
      </c>
      <c r="AD41">
        <f t="shared" ca="1" si="31"/>
        <v>72.329532284493595</v>
      </c>
      <c r="AE41">
        <f t="shared" ca="1" si="31"/>
        <v>79.364453621371609</v>
      </c>
      <c r="AF41">
        <f t="shared" ca="1" si="31"/>
        <v>85.044309136072698</v>
      </c>
      <c r="AG41">
        <f t="shared" ca="1" si="31"/>
        <v>90.01648421238896</v>
      </c>
      <c r="AH41">
        <f t="shared" ca="1" si="31"/>
        <v>94.571478371334862</v>
      </c>
      <c r="AI41">
        <f t="shared" ca="1" si="31"/>
        <v>98.807690321813112</v>
      </c>
    </row>
    <row r="42" spans="1:35">
      <c r="A42" s="1" t="s">
        <v>96</v>
      </c>
      <c r="B42" s="1">
        <f ca="1">SUMPRODUCT(lz/SUM(lz),len,ta1_)</f>
        <v>4.6222202829565253</v>
      </c>
      <c r="J42" s="8" t="s">
        <v>68</v>
      </c>
      <c r="K42">
        <f t="shared" ref="K42:AI42" ca="1" si="32">flt1_*qa1_+lz*wa*flt1_*flt3_/za*(sa-oa/za)</f>
        <v>-7.88341310264436E-14</v>
      </c>
      <c r="L42">
        <f t="shared" ca="1" si="32"/>
        <v>-4.0950814939081185E-12</v>
      </c>
      <c r="M42">
        <f t="shared" ca="1" si="32"/>
        <v>-9.6568465824738486E-11</v>
      </c>
      <c r="N42">
        <f t="shared" ca="1" si="32"/>
        <v>-1.5887215328636679E-9</v>
      </c>
      <c r="O42">
        <f t="shared" ca="1" si="32"/>
        <v>-2.1830517960908798E-8</v>
      </c>
      <c r="P42">
        <f t="shared" ca="1" si="32"/>
        <v>-9.4594240773985661E-7</v>
      </c>
      <c r="Q42">
        <f t="shared" ca="1" si="32"/>
        <v>-1.6455243571905322E-4</v>
      </c>
      <c r="R42">
        <f t="shared" ca="1" si="32"/>
        <v>-1.0505201680704535E-3</v>
      </c>
      <c r="S42">
        <f t="shared" ca="1" si="32"/>
        <v>-3.0657469089165543E-3</v>
      </c>
      <c r="T42">
        <f t="shared" ca="1" si="32"/>
        <v>-7.4470846021121896E-3</v>
      </c>
      <c r="U42">
        <f t="shared" ca="1" si="32"/>
        <v>-1.5935001896143695E-2</v>
      </c>
      <c r="V42">
        <f t="shared" ca="1" si="32"/>
        <v>-2.4779552324303733E-2</v>
      </c>
      <c r="W42">
        <f t="shared" ca="1" si="32"/>
        <v>2.4350984846348636E-2</v>
      </c>
      <c r="X42">
        <f t="shared" ca="1" si="32"/>
        <v>0.53366624119768347</v>
      </c>
      <c r="Y42">
        <f t="shared" ca="1" si="32"/>
        <v>3.3263386437770701</v>
      </c>
      <c r="Z42">
        <f t="shared" ca="1" si="32"/>
        <v>12.561404692884683</v>
      </c>
      <c r="AA42">
        <f t="shared" ca="1" si="32"/>
        <v>29.70488133311191</v>
      </c>
      <c r="AB42">
        <f t="shared" ca="1" si="32"/>
        <v>48.169824832877019</v>
      </c>
      <c r="AC42">
        <f t="shared" ca="1" si="32"/>
        <v>62.293059971118588</v>
      </c>
      <c r="AD42">
        <f t="shared" ca="1" si="32"/>
        <v>72.039729584826873</v>
      </c>
      <c r="AE42">
        <f t="shared" ca="1" si="32"/>
        <v>79.147703180964626</v>
      </c>
      <c r="AF42">
        <f t="shared" ca="1" si="32"/>
        <v>84.885230181089469</v>
      </c>
      <c r="AG42">
        <f t="shared" ca="1" si="32"/>
        <v>89.900935916436993</v>
      </c>
      <c r="AH42">
        <f t="shared" ca="1" si="32"/>
        <v>94.488107617834913</v>
      </c>
      <c r="AI42">
        <f t="shared" ca="1" si="32"/>
        <v>98.616345844460199</v>
      </c>
    </row>
    <row r="43" spans="1:35">
      <c r="A43" s="1"/>
      <c r="B43" s="1"/>
      <c r="J43" s="8" t="s">
        <v>61</v>
      </c>
      <c r="K43">
        <f t="shared" ref="K43:AI43" ca="1" si="33">flt1_*qa1_+lz*wa*flt2_*flt3_/za*(sa-oa/za)</f>
        <v>-1.996020769768273E-9</v>
      </c>
      <c r="L43">
        <f t="shared" ca="1" si="33"/>
        <v>-5.2325777196752725E-7</v>
      </c>
      <c r="M43">
        <f t="shared" ca="1" si="33"/>
        <v>-3.3077985658442271E-5</v>
      </c>
      <c r="N43">
        <f t="shared" ca="1" si="33"/>
        <v>-3.4164436791649197E-4</v>
      </c>
      <c r="O43">
        <f t="shared" ca="1" si="33"/>
        <v>-1.7613922230270338E-3</v>
      </c>
      <c r="P43">
        <f t="shared" ca="1" si="33"/>
        <v>-1.9571319296899373E-2</v>
      </c>
      <c r="Q43">
        <f t="shared" ca="1" si="33"/>
        <v>-0.34072387428024176</v>
      </c>
      <c r="R43">
        <f t="shared" ca="1" si="33"/>
        <v>-0.63735059876381162</v>
      </c>
      <c r="S43">
        <f t="shared" ca="1" si="33"/>
        <v>-0.66740394283972615</v>
      </c>
      <c r="T43">
        <f t="shared" ca="1" si="33"/>
        <v>-0.59684046050063444</v>
      </c>
      <c r="U43">
        <f t="shared" ca="1" si="33"/>
        <v>-0.50081157793583342</v>
      </c>
      <c r="V43">
        <f t="shared" ca="1" si="33"/>
        <v>-0.3946002946593769</v>
      </c>
      <c r="W43">
        <f t="shared" ca="1" si="33"/>
        <v>-0.215350934900917</v>
      </c>
      <c r="X43">
        <f t="shared" ca="1" si="33"/>
        <v>0.45413653518659108</v>
      </c>
      <c r="Y43">
        <f t="shared" ca="1" si="33"/>
        <v>3.4409199012017324</v>
      </c>
      <c r="Z43">
        <f t="shared" ca="1" si="33"/>
        <v>12.874032999694132</v>
      </c>
      <c r="AA43">
        <f t="shared" ca="1" si="33"/>
        <v>30.14204711411244</v>
      </c>
      <c r="AB43">
        <f t="shared" ca="1" si="33"/>
        <v>48.610352500124243</v>
      </c>
      <c r="AC43">
        <f t="shared" ca="1" si="33"/>
        <v>62.665734100120027</v>
      </c>
      <c r="AD43">
        <f t="shared" ca="1" si="33"/>
        <v>72.329532284493595</v>
      </c>
      <c r="AE43">
        <f t="shared" ca="1" si="33"/>
        <v>79.364453621371609</v>
      </c>
      <c r="AF43">
        <f t="shared" ca="1" si="33"/>
        <v>85.044309136072698</v>
      </c>
      <c r="AG43">
        <f t="shared" ca="1" si="33"/>
        <v>90.01648421238896</v>
      </c>
      <c r="AH43">
        <f t="shared" ca="1" si="33"/>
        <v>94.571478371334862</v>
      </c>
      <c r="AI43">
        <f t="shared" ca="1" si="33"/>
        <v>98.807690321813112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0.40000002582707234</v>
      </c>
      <c r="G46" s="32" t="s">
        <v>94</v>
      </c>
      <c r="H46" s="32"/>
      <c r="I46" s="32"/>
      <c r="J46" s="8" t="s">
        <v>75</v>
      </c>
      <c r="K46">
        <f t="shared" ref="K46:AI46" ca="1" si="34">lz*qa1_</f>
        <v>7.2554665035943009E-9</v>
      </c>
      <c r="L46">
        <f t="shared" ca="1" si="34"/>
        <v>1.0508472430665292E-7</v>
      </c>
      <c r="M46">
        <f t="shared" ca="1" si="34"/>
        <v>6.9423699220447449E-7</v>
      </c>
      <c r="N46">
        <f t="shared" ca="1" si="34"/>
        <v>3.226044817785944E-6</v>
      </c>
      <c r="O46">
        <f t="shared" ca="1" si="34"/>
        <v>1.2423634536124737E-5</v>
      </c>
      <c r="P46">
        <f t="shared" ca="1" si="34"/>
        <v>5.8757010036382295E-5</v>
      </c>
      <c r="Q46">
        <f t="shared" ca="1" si="34"/>
        <v>6.529911969162896E-4</v>
      </c>
      <c r="R46">
        <f t="shared" ca="1" si="34"/>
        <v>2.3183895320910987E-3</v>
      </c>
      <c r="S46">
        <f t="shared" ca="1" si="34"/>
        <v>6.4222653320874235E-3</v>
      </c>
      <c r="T46">
        <f t="shared" ca="1" si="34"/>
        <v>1.7015717284510887E-2</v>
      </c>
      <c r="U46">
        <f t="shared" ca="1" si="34"/>
        <v>4.3704549514616726E-2</v>
      </c>
      <c r="V46">
        <f t="shared" ca="1" si="34"/>
        <v>0.10883270374615797</v>
      </c>
      <c r="W46">
        <f t="shared" ca="1" si="34"/>
        <v>0.2601309013620054</v>
      </c>
      <c r="X46">
        <f t="shared" ca="1" si="34"/>
        <v>0.57975817555945341</v>
      </c>
      <c r="Y46">
        <f t="shared" ca="1" si="34"/>
        <v>1.1346598161280514</v>
      </c>
      <c r="Z46">
        <f t="shared" ca="1" si="34"/>
        <v>1.790797237721147</v>
      </c>
      <c r="AA46">
        <f t="shared" ca="1" si="34"/>
        <v>2.1636104759166259</v>
      </c>
      <c r="AB46">
        <f t="shared" ca="1" si="34"/>
        <v>2.0764886538993288</v>
      </c>
      <c r="AC46">
        <f t="shared" ca="1" si="34"/>
        <v>1.7261184041942943</v>
      </c>
      <c r="AD46">
        <f t="shared" ca="1" si="34"/>
        <v>1.3334758697707876</v>
      </c>
      <c r="AE46">
        <f t="shared" ca="1" si="34"/>
        <v>0.99482078917371985</v>
      </c>
      <c r="AF46">
        <f t="shared" ca="1" si="34"/>
        <v>0.72940999962416164</v>
      </c>
      <c r="AG46">
        <f t="shared" ca="1" si="34"/>
        <v>0.52961079960610646</v>
      </c>
      <c r="AH46">
        <f t="shared" ca="1" si="34"/>
        <v>0.38206976685714822</v>
      </c>
      <c r="AI46">
        <f t="shared" ca="1" si="34"/>
        <v>0.87683952636611018</v>
      </c>
    </row>
    <row r="47" spans="1:35" ht="19" thickTop="1">
      <c r="A47" s="1" t="s">
        <v>41</v>
      </c>
      <c r="B47" s="11">
        <f ca="1">MAX(0,Ro*(reck-1/spr)/(reck-1))</f>
        <v>8771.7290926342921</v>
      </c>
      <c r="F47" t="s">
        <v>84</v>
      </c>
      <c r="G47" s="31">
        <f ca="1">G39/G53</f>
        <v>0.99999999999999978</v>
      </c>
      <c r="H47" s="31">
        <f ca="1">H53/H39</f>
        <v>0.34278853552909194</v>
      </c>
      <c r="I47" s="31">
        <f ca="1">I53/I39</f>
        <v>0.50579082413412635</v>
      </c>
      <c r="J47" s="8" t="s">
        <v>76</v>
      </c>
      <c r="K47">
        <f t="shared" ref="K47:AI47" ca="1" si="35">lz*qa2_</f>
        <v>1.8183908865187975E-4</v>
      </c>
      <c r="L47">
        <f t="shared" ca="1" si="35"/>
        <v>1.3314371969550348E-2</v>
      </c>
      <c r="M47">
        <f t="shared" ca="1" si="35"/>
        <v>0.23612714594802203</v>
      </c>
      <c r="N47">
        <f t="shared" ca="1" si="35"/>
        <v>0.68957043611522117</v>
      </c>
      <c r="O47">
        <f t="shared" ca="1" si="35"/>
        <v>0.9971968813358294</v>
      </c>
      <c r="P47">
        <f t="shared" ca="1" si="35"/>
        <v>1.2127244766952185</v>
      </c>
      <c r="Q47">
        <f t="shared" ca="1" si="35"/>
        <v>1.3498053175505433</v>
      </c>
      <c r="R47">
        <f t="shared" ca="1" si="35"/>
        <v>1.4016030754734963</v>
      </c>
      <c r="S47">
        <f t="shared" ca="1" si="35"/>
        <v>1.3836781307427144</v>
      </c>
      <c r="T47">
        <f t="shared" ca="1" si="35"/>
        <v>1.3178754735000933</v>
      </c>
      <c r="U47">
        <f t="shared" ca="1" si="35"/>
        <v>1.2209281941260213</v>
      </c>
      <c r="V47">
        <f t="shared" ca="1" si="35"/>
        <v>1.1051427582927464</v>
      </c>
      <c r="W47">
        <f t="shared" ca="1" si="35"/>
        <v>0.97869232369977588</v>
      </c>
      <c r="X47">
        <f t="shared" ca="1" si="35"/>
        <v>0.84556246023420767</v>
      </c>
      <c r="Y47">
        <f t="shared" ca="1" si="35"/>
        <v>0.70658273117272929</v>
      </c>
      <c r="Z47">
        <f t="shared" ca="1" si="35"/>
        <v>0.6140027895390745</v>
      </c>
      <c r="AA47">
        <f t="shared" ca="1" si="35"/>
        <v>0.50499065239518681</v>
      </c>
      <c r="AB47">
        <f t="shared" ca="1" si="35"/>
        <v>0.39575202104623297</v>
      </c>
      <c r="AC47">
        <f t="shared" ca="1" si="35"/>
        <v>0.30007107496724639</v>
      </c>
      <c r="AD47">
        <f t="shared" ca="1" si="35"/>
        <v>0.22308064517720713</v>
      </c>
      <c r="AE47">
        <f t="shared" ca="1" si="35"/>
        <v>0.16387880139550415</v>
      </c>
      <c r="AF47">
        <f t="shared" ca="1" si="35"/>
        <v>0.11942728859668786</v>
      </c>
      <c r="AG47">
        <f t="shared" ca="1" si="35"/>
        <v>8.6507106687247731E-2</v>
      </c>
      <c r="AH47">
        <f t="shared" ca="1" si="35"/>
        <v>6.2349626983100537E-2</v>
      </c>
      <c r="AI47">
        <f t="shared" ca="1" si="35"/>
        <v>0.14303942482815338</v>
      </c>
    </row>
    <row r="48" spans="1:35">
      <c r="A48" s="1" t="s">
        <v>43</v>
      </c>
      <c r="B48" s="1">
        <f ca="1">f1_*re*phi_q1</f>
        <v>26259.691351453253</v>
      </c>
      <c r="C48" s="20">
        <f ca="1">ye_1/SUM(ye_1,ye_2,ye_3)</f>
        <v>0.60369779809939295</v>
      </c>
      <c r="F48" t="s">
        <v>85</v>
      </c>
      <c r="G48" s="31">
        <f ca="1">G40/G54</f>
        <v>2.9172504222071098</v>
      </c>
      <c r="H48" s="31">
        <f t="shared" ref="H48:I49" ca="1" si="36">H40/H54</f>
        <v>1</v>
      </c>
      <c r="I48" s="31">
        <f ca="1">I54/I40</f>
        <v>0.46208536596746203</v>
      </c>
      <c r="J48" s="8" t="s">
        <v>77</v>
      </c>
      <c r="K48">
        <f t="shared" ref="K48:AI48" ca="1" si="37">lz*qa3_</f>
        <v>1.4668580008252646E-6</v>
      </c>
      <c r="L48">
        <f t="shared" ca="1" si="37"/>
        <v>2.9763453440488197E-5</v>
      </c>
      <c r="M48">
        <f t="shared" ca="1" si="37"/>
        <v>2.7483604958953911E-4</v>
      </c>
      <c r="N48">
        <f t="shared" ca="1" si="37"/>
        <v>1.7697177120420578E-3</v>
      </c>
      <c r="O48">
        <f t="shared" ca="1" si="37"/>
        <v>9.4261492358675789E-3</v>
      </c>
      <c r="P48">
        <f t="shared" ca="1" si="37"/>
        <v>0.11398797335272275</v>
      </c>
      <c r="Q48">
        <f t="shared" ca="1" si="37"/>
        <v>2.1651081612056515</v>
      </c>
      <c r="R48">
        <f t="shared" ca="1" si="37"/>
        <v>4.418781269694863</v>
      </c>
      <c r="S48">
        <f t="shared" ca="1" si="37"/>
        <v>5.04275010155561</v>
      </c>
      <c r="T48">
        <f t="shared" ca="1" si="37"/>
        <v>4.9147143572982355</v>
      </c>
      <c r="U48">
        <f t="shared" ca="1" si="37"/>
        <v>4.5094362825254706</v>
      </c>
      <c r="V48">
        <f t="shared" ca="1" si="37"/>
        <v>4.0087678079512052</v>
      </c>
      <c r="W48">
        <f t="shared" ca="1" si="37"/>
        <v>3.479189407715634</v>
      </c>
      <c r="X48">
        <f t="shared" ca="1" si="37"/>
        <v>2.9443243035543345</v>
      </c>
      <c r="Y48">
        <f t="shared" ca="1" si="37"/>
        <v>2.4096447261585818</v>
      </c>
      <c r="Z48">
        <f t="shared" ca="1" si="37"/>
        <v>2.0939212329798744</v>
      </c>
      <c r="AA48">
        <f t="shared" ca="1" si="37"/>
        <v>1.7221593574524765</v>
      </c>
      <c r="AB48">
        <f t="shared" ca="1" si="37"/>
        <v>1.34962507334125</v>
      </c>
      <c r="AC48">
        <f t="shared" ca="1" si="37"/>
        <v>1.0233262877334648</v>
      </c>
      <c r="AD48">
        <f t="shared" ca="1" si="37"/>
        <v>0.76076738992352233</v>
      </c>
      <c r="AE48">
        <f t="shared" ca="1" si="37"/>
        <v>0.55887254540803732</v>
      </c>
      <c r="AF48">
        <f t="shared" ca="1" si="37"/>
        <v>0.40728045482911546</v>
      </c>
      <c r="AG48">
        <f t="shared" ca="1" si="37"/>
        <v>0.29501342759706767</v>
      </c>
      <c r="AH48">
        <f t="shared" ca="1" si="37"/>
        <v>0.21262966558555146</v>
      </c>
      <c r="AI48">
        <f t="shared" ca="1" si="37"/>
        <v>0.48780444308036519</v>
      </c>
    </row>
    <row r="49" spans="1:47">
      <c r="A49" s="1" t="s">
        <v>44</v>
      </c>
      <c r="B49" s="1">
        <f ca="1">f2_*re*phi_q2</f>
        <v>9791.5943241037676</v>
      </c>
      <c r="C49" s="20">
        <f ca="1">ye_2/SUM(ye_1,ye_2,ye_3)</f>
        <v>0.22510409030442868</v>
      </c>
      <c r="F49" t="s">
        <v>86</v>
      </c>
      <c r="G49" s="31">
        <f ca="1">G41/G55</f>
        <v>1.9771019011899249</v>
      </c>
      <c r="H49" s="31">
        <f t="shared" ca="1" si="36"/>
        <v>2.1641022928876206</v>
      </c>
      <c r="I49" s="31">
        <f t="shared" ca="1" si="36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7446.788086060129</v>
      </c>
      <c r="C50" s="20">
        <f ca="1">ye_3/SUM(ye_1,ye_2,ye_3)</f>
        <v>0.17119811159617832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43498.073761617154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1149.2898011720636</v>
      </c>
      <c r="H52" s="57">
        <f ca="1">H40^0.5</f>
        <v>392.14105501370506</v>
      </c>
      <c r="I52" s="11">
        <f ca="1">I41^0.5</f>
        <v>567.8484816335058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2.9936733196085341</v>
      </c>
      <c r="C53">
        <f ca="1">AVERAGE(B53:B55)/B53</f>
        <v>0.55215264058069879</v>
      </c>
      <c r="G53">
        <f ca="1">G$52*$J53</f>
        <v>1320867.0470781215</v>
      </c>
      <c r="H53">
        <f t="shared" ref="H53:I53" ca="1" si="38">H$52*$J53</f>
        <v>450683.7151481043</v>
      </c>
      <c r="I53">
        <f t="shared" ca="1" si="38"/>
        <v>652622.46855243004</v>
      </c>
      <c r="J53">
        <f t="array" aca="1" ref="J53:J55" ca="1">TRANSPOSE(G52:I52)</f>
        <v>1149.2898011720636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1.1162672969831988</v>
      </c>
      <c r="C54">
        <f ca="1">AVERAGE(B53:B55)/B54</f>
        <v>1.4807964301427685</v>
      </c>
      <c r="G54">
        <f t="shared" ref="G54:I55" ca="1" si="39">G$52*$J54</f>
        <v>450683.7151481043</v>
      </c>
      <c r="H54">
        <f t="shared" ca="1" si="39"/>
        <v>153774.60702726166</v>
      </c>
      <c r="I54">
        <f ca="1">I$52*$J54</f>
        <v>222676.70267569349</v>
      </c>
      <c r="J54">
        <f ca="1"/>
        <v>392.14105501370506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0.84895326878178112</v>
      </c>
      <c r="C55">
        <f ca="1">AVERAGE(B53:B55)/B55</f>
        <v>1.9470619753072933</v>
      </c>
      <c r="G55">
        <f t="shared" ca="1" si="39"/>
        <v>652622.46855243004</v>
      </c>
      <c r="H55">
        <f t="shared" ca="1" si="39"/>
        <v>222676.70267569349</v>
      </c>
      <c r="I55">
        <f t="shared" ca="1" si="39"/>
        <v>322451.898093478</v>
      </c>
      <c r="J55">
        <f ca="1"/>
        <v>567.8484816335058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3.9073689388906312E-2</v>
      </c>
      <c r="C56">
        <f ca="1">AVERAGE(B56:B58)/B56</f>
        <v>1.2806406936508459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8.3685176507616449E-2</v>
      </c>
      <c r="C57">
        <f ca="1">AVERAGE(B56:B58)/B57</f>
        <v>0.59794767449588204</v>
      </c>
      <c r="G57">
        <f t="array" aca="1" ref="G57:I59" ca="1">MMULT($G$52:$I$52,TRANSPOSE($G$52:$I$52))</f>
        <v>1797093.5521988613</v>
      </c>
      <c r="H57">
        <f ca="1"/>
        <v>1797093.5521988613</v>
      </c>
      <c r="I57">
        <f ca="1"/>
        <v>1797093.5521988613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2.7359204150997275E-2</v>
      </c>
      <c r="C58">
        <f ca="1">AVERAGE(B56:B58)/B58</f>
        <v>1.8289770567278245</v>
      </c>
      <c r="G58">
        <f ca="1"/>
        <v>1797093.5521988613</v>
      </c>
      <c r="H58">
        <f ca="1"/>
        <v>1797093.5521988613</v>
      </c>
      <c r="I58">
        <f ca="1"/>
        <v>1797093.5521988613</v>
      </c>
      <c r="AL58" s="31"/>
      <c r="AM58" s="31"/>
      <c r="AN58" s="31"/>
      <c r="AO58" s="31"/>
      <c r="AP58" s="31"/>
    </row>
    <row r="59" spans="1:47">
      <c r="G59">
        <f ca="1"/>
        <v>1797093.5521988613</v>
      </c>
      <c r="H59">
        <f ca="1"/>
        <v>1797093.5521988613</v>
      </c>
      <c r="I59">
        <f ca="1"/>
        <v>1797093.5521988613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76.616090428831868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13.338889198394698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31.029896341149083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(2)'!K46:AI46</xm:f>
              <xm:sqref>J46</xm:sqref>
            </x14:sparkline>
            <x14:sparkline>
              <xm:f>'Reduce DMR (2)'!K47:AI47</xm:f>
              <xm:sqref>J47</xm:sqref>
            </x14:sparkline>
            <x14:sparkline>
              <xm:f>'Reduce DMR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(2)'!K18:AI18</xm:f>
              <xm:sqref>J18</xm:sqref>
            </x14:sparkline>
            <x14:sparkline>
              <xm:f>'Reduce DMR (2)'!K19:AI19</xm:f>
              <xm:sqref>J19</xm:sqref>
            </x14:sparkline>
            <x14:sparkline>
              <xm:f>'Reduce DMR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zoomScale="125" zoomScaleNormal="125" zoomScalePageLayoutView="125" workbookViewId="0">
      <pane xSplit="10" topLeftCell="K1" activePane="topRight" state="frozen"/>
      <selection pane="topRight" activeCell="B4" sqref="B4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74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5">
        <v>0.33333000000000002</v>
      </c>
      <c r="C4" s="22">
        <f>ypr1/SUM(ypr1,ypr2,ypr3)</f>
        <v>0.51295924716123387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5">
        <v>0.33333000000000002</v>
      </c>
      <c r="C5" s="22">
        <f>ypr2/SUM(ypr1,ypr2,ypr3)</f>
        <v>0.22199193019336766</v>
      </c>
      <c r="J5" t="s">
        <v>3</v>
      </c>
      <c r="K5" s="9">
        <f>0.00000692*len^3.24</f>
        <v>0.21008315542734157</v>
      </c>
      <c r="L5" s="9">
        <f>0.00000692*len^3.24</f>
        <v>1.4070636823889766</v>
      </c>
      <c r="M5" s="9">
        <f>0.00000692*len^3.24</f>
        <v>3.761049268028144</v>
      </c>
      <c r="N5" s="9">
        <f>0.00000692*len^3.24</f>
        <v>6.9561880007027987</v>
      </c>
      <c r="O5" s="9">
        <f>0.00000692*len^3.24</f>
        <v>10.576009699103048</v>
      </c>
      <c r="P5" s="9">
        <f>0.00000692*len^3.24</f>
        <v>14.269475531777754</v>
      </c>
      <c r="Q5" s="9">
        <f>0.00000692*len^3.24</f>
        <v>17.794469983736594</v>
      </c>
      <c r="R5" s="9">
        <f>0.00000692*len^3.24</f>
        <v>21.009404638189356</v>
      </c>
      <c r="S5" s="9">
        <f>0.00000692*len^3.24</f>
        <v>23.848837915830781</v>
      </c>
      <c r="T5" s="9">
        <f>0.00000692*len^3.24</f>
        <v>26.298572013357866</v>
      </c>
      <c r="U5" s="9">
        <f>0.00000692*len^3.24</f>
        <v>28.375548581008292</v>
      </c>
      <c r="V5" s="9">
        <f>0.00000692*len^3.24</f>
        <v>30.113405824340219</v>
      </c>
      <c r="W5" s="9">
        <f>0.00000692*len^3.24</f>
        <v>31.552899518788422</v>
      </c>
      <c r="X5" s="9">
        <f>0.00000692*len^3.24</f>
        <v>32.735985286908267</v>
      </c>
      <c r="Y5" s="9">
        <f>0.00000692*len^3.24</f>
        <v>33.702449415644089</v>
      </c>
      <c r="Z5" s="9">
        <f>0.00000692*len^3.24</f>
        <v>34.488213758889593</v>
      </c>
      <c r="AA5" s="9">
        <f>0.00000692*len^3.24</f>
        <v>35.124684007454491</v>
      </c>
      <c r="AB5" s="9">
        <f>0.00000692*len^3.24</f>
        <v>35.638711327686863</v>
      </c>
      <c r="AC5" s="9">
        <f>0.00000692*len^3.24</f>
        <v>36.052886817020259</v>
      </c>
      <c r="AD5" s="9">
        <f>0.00000692*len^3.24</f>
        <v>36.385992986789851</v>
      </c>
      <c r="AE5" s="9">
        <f>0.00000692*len^3.24</f>
        <v>36.653506871136997</v>
      </c>
      <c r="AF5" s="9">
        <f>0.00000692*len^3.24</f>
        <v>36.868095058414958</v>
      </c>
      <c r="AG5" s="9">
        <f>0.00000692*len^3.24</f>
        <v>37.040069676485878</v>
      </c>
      <c r="AH5" s="9">
        <f>0.00000692*len^3.24</f>
        <v>37.177791822349739</v>
      </c>
      <c r="AI5" s="9">
        <f>0.00000692*len^3.24</f>
        <v>37.288019092348023</v>
      </c>
    </row>
    <row r="6" spans="1:35">
      <c r="A6" s="5">
        <v>3</v>
      </c>
      <c r="B6" s="25">
        <f>1-SUM(B4:B5)</f>
        <v>0.33333999999999997</v>
      </c>
      <c r="C6" s="22">
        <f>ypr3/SUM(ypr1,ypr2,ypr3)</f>
        <v>0.26504882264539859</v>
      </c>
      <c r="J6" t="s">
        <v>6</v>
      </c>
      <c r="K6" s="1">
        <f>EXP(-M*(age-1))</f>
        <v>1</v>
      </c>
      <c r="L6" s="1">
        <f t="shared" ref="L6:AH6" si="1">EXP(-M*(age-1))</f>
        <v>0.86070797642505781</v>
      </c>
      <c r="M6" s="1">
        <f t="shared" si="1"/>
        <v>0.74081822068171788</v>
      </c>
      <c r="N6" s="1">
        <f t="shared" si="1"/>
        <v>0.63762815162177333</v>
      </c>
      <c r="O6" s="1">
        <f t="shared" si="1"/>
        <v>0.54881163609402639</v>
      </c>
      <c r="P6" s="1">
        <f t="shared" si="1"/>
        <v>0.47236655274101469</v>
      </c>
      <c r="Q6" s="1">
        <f t="shared" si="1"/>
        <v>0.40656965974059917</v>
      </c>
      <c r="R6" s="1">
        <f t="shared" si="1"/>
        <v>0.34993774911115533</v>
      </c>
      <c r="S6" s="1">
        <f t="shared" si="1"/>
        <v>0.30119421191220214</v>
      </c>
      <c r="T6" s="1">
        <f t="shared" si="1"/>
        <v>0.25924026064589156</v>
      </c>
      <c r="U6" s="1">
        <f t="shared" si="1"/>
        <v>0.22313016014842982</v>
      </c>
      <c r="V6" s="1">
        <f t="shared" si="1"/>
        <v>0.19204990862075413</v>
      </c>
      <c r="W6" s="1">
        <f t="shared" si="1"/>
        <v>0.16529888822158656</v>
      </c>
      <c r="X6" s="1">
        <f t="shared" si="1"/>
        <v>0.14227407158651359</v>
      </c>
      <c r="Y6" s="1">
        <f t="shared" si="1"/>
        <v>0.12245642825298191</v>
      </c>
      <c r="Z6" s="1">
        <f t="shared" si="1"/>
        <v>0.10539922456186433</v>
      </c>
      <c r="AA6" s="1">
        <f t="shared" si="1"/>
        <v>9.0717953289412512E-2</v>
      </c>
      <c r="AB6" s="1">
        <f t="shared" si="1"/>
        <v>7.8081666001153169E-2</v>
      </c>
      <c r="AC6" s="1">
        <f t="shared" si="1"/>
        <v>6.7205512739749784E-2</v>
      </c>
      <c r="AD6" s="1">
        <f t="shared" si="1"/>
        <v>5.7844320874838456E-2</v>
      </c>
      <c r="AE6" s="1">
        <f t="shared" si="1"/>
        <v>4.9787068367863944E-2</v>
      </c>
      <c r="AF6" s="1">
        <f t="shared" si="1"/>
        <v>4.2852126867040187E-2</v>
      </c>
      <c r="AG6" s="1">
        <f t="shared" si="1"/>
        <v>3.6883167401240015E-2</v>
      </c>
      <c r="AH6" s="1">
        <f t="shared" si="1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>spr</f>
        <v>0.39853353853408335</v>
      </c>
      <c r="J7" t="s">
        <v>7</v>
      </c>
      <c r="K7" s="1">
        <f>1</f>
        <v>1</v>
      </c>
      <c r="L7" s="1">
        <f>K7*EXP(-K8)</f>
        <v>0.86054415793688133</v>
      </c>
      <c r="M7" s="1">
        <f t="shared" ref="M7:AH7" si="2">L7*EXP(-L8)</f>
        <v>0.73915874319590891</v>
      </c>
      <c r="N7" s="1">
        <f t="shared" si="2"/>
        <v>0.628066272446412</v>
      </c>
      <c r="O7" s="1">
        <f t="shared" si="2"/>
        <v>0.50979818639246421</v>
      </c>
      <c r="P7" s="1">
        <f t="shared" si="2"/>
        <v>0.4085428040519124</v>
      </c>
      <c r="Q7" s="1">
        <f t="shared" si="2"/>
        <v>0.33285220354313017</v>
      </c>
      <c r="R7" s="1">
        <f t="shared" si="2"/>
        <v>0.27317852055960323</v>
      </c>
      <c r="S7" s="1">
        <f t="shared" si="2"/>
        <v>0.22001051455271572</v>
      </c>
      <c r="T7" s="1">
        <f t="shared" si="2"/>
        <v>0.17345725647293822</v>
      </c>
      <c r="U7" s="1">
        <f t="shared" si="2"/>
        <v>0.13671718634901517</v>
      </c>
      <c r="V7" s="1">
        <f t="shared" si="2"/>
        <v>0.1080446343710562</v>
      </c>
      <c r="W7" s="1">
        <f t="shared" si="2"/>
        <v>8.5577996967168238E-2</v>
      </c>
      <c r="X7" s="1">
        <f t="shared" si="2"/>
        <v>6.7902903840210638E-2</v>
      </c>
      <c r="Y7" s="1">
        <f t="shared" si="2"/>
        <v>5.3954476264730773E-2</v>
      </c>
      <c r="Z7" s="1">
        <f t="shared" si="2"/>
        <v>4.2921077516103197E-2</v>
      </c>
      <c r="AA7" s="1">
        <f t="shared" si="2"/>
        <v>3.4177490210006295E-2</v>
      </c>
      <c r="AB7" s="1">
        <f t="shared" si="2"/>
        <v>2.7238288454759212E-2</v>
      </c>
      <c r="AC7" s="1">
        <f t="shared" si="2"/>
        <v>2.1724395761727182E-2</v>
      </c>
      <c r="AD7" s="1">
        <f t="shared" si="2"/>
        <v>1.7338514588596185E-2</v>
      </c>
      <c r="AE7" s="1">
        <f t="shared" si="2"/>
        <v>1.3846730346166316E-2</v>
      </c>
      <c r="AF7" s="1">
        <f t="shared" si="2"/>
        <v>1.1064540303018603E-2</v>
      </c>
      <c r="AG7" s="1">
        <f t="shared" si="2"/>
        <v>8.8461296268382856E-3</v>
      </c>
      <c r="AH7" s="1">
        <f t="shared" si="2"/>
        <v>7.0760747604090412E-3</v>
      </c>
      <c r="AI7" s="1">
        <f>AH7*EXP(-AH8)/(1-EXP(-AI8))</f>
        <v>2.8406144267657418E-2</v>
      </c>
    </row>
    <row r="8" spans="1:35">
      <c r="A8" s="5"/>
      <c r="B8" s="26" t="s">
        <v>50</v>
      </c>
      <c r="C8" s="26">
        <f>SUMXMY2(B4:B7,C4:C7)</f>
        <v>4.932866763768682E-2</v>
      </c>
      <c r="J8" t="s">
        <v>11</v>
      </c>
      <c r="K8" s="1">
        <f>M+f1_*flt1_ +f2_*flt2_ +f3_*flt3_</f>
        <v>0.15019034804419501</v>
      </c>
      <c r="L8" s="1">
        <f t="shared" ref="L8:AI8" si="3">M+f1_*flt1_ +f2_*flt2_ +f3_*flt3_</f>
        <v>0.15205222494415588</v>
      </c>
      <c r="M8" s="1">
        <f t="shared" si="3"/>
        <v>0.16286701572015258</v>
      </c>
      <c r="N8" s="1">
        <f t="shared" si="3"/>
        <v>0.20863075582624724</v>
      </c>
      <c r="O8" s="1">
        <f t="shared" si="3"/>
        <v>0.22141824215592046</v>
      </c>
      <c r="P8" s="1">
        <f t="shared" si="3"/>
        <v>0.20489813403794466</v>
      </c>
      <c r="Q8" s="1">
        <f t="shared" si="3"/>
        <v>0.19757305531829089</v>
      </c>
      <c r="R8" s="1">
        <f t="shared" si="3"/>
        <v>0.21645016430350286</v>
      </c>
      <c r="S8" s="1">
        <f t="shared" si="3"/>
        <v>0.2377441299830419</v>
      </c>
      <c r="T8" s="1">
        <f t="shared" si="3"/>
        <v>0.23801674971216077</v>
      </c>
      <c r="U8" s="1">
        <f t="shared" si="3"/>
        <v>0.23537003597598016</v>
      </c>
      <c r="V8" s="1">
        <f t="shared" si="3"/>
        <v>0.23311621763059101</v>
      </c>
      <c r="W8" s="1">
        <f t="shared" si="3"/>
        <v>0.23134940525545092</v>
      </c>
      <c r="X8" s="1">
        <f t="shared" si="3"/>
        <v>0.2299381411962752</v>
      </c>
      <c r="Y8" s="1">
        <f t="shared" si="3"/>
        <v>0.22877763620944408</v>
      </c>
      <c r="Z8" s="1">
        <f t="shared" si="3"/>
        <v>0.22779577629039113</v>
      </c>
      <c r="AA8" s="1">
        <f t="shared" si="3"/>
        <v>0.22694359912839474</v>
      </c>
      <c r="AB8" s="1">
        <f t="shared" si="3"/>
        <v>0.22618778952435659</v>
      </c>
      <c r="AC8" s="1">
        <f t="shared" si="3"/>
        <v>0.22550555390672217</v>
      </c>
      <c r="AD8" s="1">
        <f t="shared" si="3"/>
        <v>0.22488117514499245</v>
      </c>
      <c r="AE8" s="1">
        <f t="shared" si="3"/>
        <v>0.22430370117459633</v>
      </c>
      <c r="AF8" s="1">
        <f t="shared" si="3"/>
        <v>0.22376539443703686</v>
      </c>
      <c r="AG8" s="1">
        <f t="shared" si="3"/>
        <v>0.2232606914716356</v>
      </c>
      <c r="AH8" s="1">
        <f t="shared" si="3"/>
        <v>0.22278550454895091</v>
      </c>
      <c r="AI8" s="1">
        <f t="shared" si="3"/>
        <v>0.22233675263783137</v>
      </c>
    </row>
    <row r="9" spans="1:35">
      <c r="A9" s="12" t="s">
        <v>73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si="4">EXP(-za)</f>
        <v>0.86054415793688133</v>
      </c>
      <c r="L10" s="1">
        <f t="shared" si="4"/>
        <v>0.85894342129753243</v>
      </c>
      <c r="M10" s="1">
        <f t="shared" si="4"/>
        <v>0.84970417819971233</v>
      </c>
      <c r="N10" s="1">
        <f t="shared" si="4"/>
        <v>0.81169489392691652</v>
      </c>
      <c r="O10" s="1">
        <f t="shared" si="4"/>
        <v>0.80138143868836531</v>
      </c>
      <c r="P10" s="1">
        <f t="shared" si="4"/>
        <v>0.81473030547084502</v>
      </c>
      <c r="Q10" s="1">
        <f t="shared" si="4"/>
        <v>0.82072018046353545</v>
      </c>
      <c r="R10" s="1">
        <f t="shared" si="4"/>
        <v>0.80537267023053849</v>
      </c>
      <c r="S10" s="1">
        <f t="shared" si="4"/>
        <v>0.78840439433351228</v>
      </c>
      <c r="T10" s="1">
        <f t="shared" si="4"/>
        <v>0.78818948903613595</v>
      </c>
      <c r="U10" s="1">
        <f t="shared" si="4"/>
        <v>0.79027836409123475</v>
      </c>
      <c r="V10" s="1">
        <f t="shared" si="4"/>
        <v>0.79206151666235358</v>
      </c>
      <c r="W10" s="1">
        <f t="shared" si="4"/>
        <v>0.79346217774016603</v>
      </c>
      <c r="X10" s="1">
        <f t="shared" si="4"/>
        <v>0.79458275292168135</v>
      </c>
      <c r="Y10" s="1">
        <f t="shared" si="4"/>
        <v>0.79550540543676929</v>
      </c>
      <c r="Z10" s="1">
        <f t="shared" si="4"/>
        <v>0.79628686388834324</v>
      </c>
      <c r="AA10" s="1">
        <f t="shared" si="4"/>
        <v>0.79696573058441078</v>
      </c>
      <c r="AB10" s="1">
        <f t="shared" si="4"/>
        <v>0.79756831262763817</v>
      </c>
      <c r="AC10" s="1">
        <f t="shared" si="4"/>
        <v>0.79811262779249326</v>
      </c>
      <c r="AD10" s="1">
        <f t="shared" si="4"/>
        <v>0.79861110797077905</v>
      </c>
      <c r="AE10" s="1">
        <f t="shared" si="4"/>
        <v>0.79907241828263043</v>
      </c>
      <c r="AF10" s="1">
        <f t="shared" si="4"/>
        <v>0.79950268014522974</v>
      </c>
      <c r="AG10" s="1">
        <f t="shared" si="4"/>
        <v>0.79990629336257157</v>
      </c>
      <c r="AH10" s="1">
        <f t="shared" si="4"/>
        <v>0.80028648869732222</v>
      </c>
      <c r="AI10" s="1">
        <f t="shared" si="4"/>
        <v>0.80064569938078045</v>
      </c>
    </row>
    <row r="11" spans="1:35">
      <c r="A11" s="5">
        <v>1</v>
      </c>
      <c r="B11" s="25">
        <v>0.33333000000000002</v>
      </c>
      <c r="C11" s="18">
        <f>mpr1_/SUM(mpr1_,mpr2_,mpr3_)</f>
        <v>0.33333013034783809</v>
      </c>
      <c r="J11" t="s">
        <v>56</v>
      </c>
      <c r="K11" s="1">
        <f>1-sa</f>
        <v>0.13945584206311867</v>
      </c>
      <c r="L11" s="1">
        <f t="shared" ref="L11:AI11" si="5">1-sa</f>
        <v>0.14105657870246757</v>
      </c>
      <c r="M11" s="1">
        <f t="shared" si="5"/>
        <v>0.15029582180028767</v>
      </c>
      <c r="N11" s="1">
        <f t="shared" si="5"/>
        <v>0.18830510607308348</v>
      </c>
      <c r="O11" s="1">
        <f t="shared" si="5"/>
        <v>0.19861856131163469</v>
      </c>
      <c r="P11" s="1">
        <f t="shared" si="5"/>
        <v>0.18526969452915498</v>
      </c>
      <c r="Q11" s="1">
        <f t="shared" si="5"/>
        <v>0.17927981953646455</v>
      </c>
      <c r="R11" s="1">
        <f t="shared" si="5"/>
        <v>0.19462732976946151</v>
      </c>
      <c r="S11" s="1">
        <f t="shared" si="5"/>
        <v>0.21159560566648772</v>
      </c>
      <c r="T11" s="1">
        <f t="shared" si="5"/>
        <v>0.21181051096386405</v>
      </c>
      <c r="U11" s="1">
        <f t="shared" si="5"/>
        <v>0.20972163590876525</v>
      </c>
      <c r="V11" s="1">
        <f t="shared" si="5"/>
        <v>0.20793848333764642</v>
      </c>
      <c r="W11" s="1">
        <f t="shared" si="5"/>
        <v>0.20653782225983397</v>
      </c>
      <c r="X11" s="1">
        <f t="shared" si="5"/>
        <v>0.20541724707831865</v>
      </c>
      <c r="Y11" s="1">
        <f t="shared" si="5"/>
        <v>0.20449459456323071</v>
      </c>
      <c r="Z11" s="1">
        <f t="shared" si="5"/>
        <v>0.20371313611165676</v>
      </c>
      <c r="AA11" s="1">
        <f t="shared" si="5"/>
        <v>0.20303426941558922</v>
      </c>
      <c r="AB11" s="1">
        <f t="shared" si="5"/>
        <v>0.20243168737236183</v>
      </c>
      <c r="AC11" s="1">
        <f t="shared" si="5"/>
        <v>0.20188737220750674</v>
      </c>
      <c r="AD11" s="1">
        <f t="shared" si="5"/>
        <v>0.20138889202922095</v>
      </c>
      <c r="AE11" s="1">
        <f t="shared" si="5"/>
        <v>0.20092758171736957</v>
      </c>
      <c r="AF11" s="1">
        <f t="shared" si="5"/>
        <v>0.20049731985477026</v>
      </c>
      <c r="AG11" s="1">
        <f t="shared" si="5"/>
        <v>0.20009370663742843</v>
      </c>
      <c r="AH11" s="1">
        <f t="shared" si="5"/>
        <v>0.19971351130267778</v>
      </c>
      <c r="AI11" s="1">
        <f t="shared" si="5"/>
        <v>0.19935430061921955</v>
      </c>
    </row>
    <row r="12" spans="1:35">
      <c r="A12" s="5">
        <v>2</v>
      </c>
      <c r="B12" s="25">
        <v>0.33333000000000002</v>
      </c>
      <c r="C12" s="18">
        <f>mpr2_/SUM(mpr1_,mpr2_,mpr3_)</f>
        <v>0.33332967926696411</v>
      </c>
      <c r="J12" t="s">
        <v>83</v>
      </c>
      <c r="K12">
        <f t="shared" ref="K12:AI12" si="6">1/(1+EXP(($E18-len)/2.5))</f>
        <v>9.0219231636339836E-11</v>
      </c>
      <c r="L12">
        <f t="shared" si="6"/>
        <v>2.0379495285720342E-7</v>
      </c>
      <c r="M12">
        <f t="shared" si="6"/>
        <v>9.7115913360032254E-5</v>
      </c>
      <c r="N12">
        <f t="shared" si="6"/>
        <v>1.318576895324936E-2</v>
      </c>
      <c r="O12">
        <f t="shared" si="6"/>
        <v>0.40532678130776134</v>
      </c>
      <c r="P12">
        <f t="shared" si="6"/>
        <v>0.94027757178671145</v>
      </c>
      <c r="Q12">
        <f t="shared" si="6"/>
        <v>0.99485021627773107</v>
      </c>
      <c r="R12">
        <f>1/(1+EXP(($E18-len)/2.5))</f>
        <v>0.99930134413757676</v>
      </c>
      <c r="S12">
        <f t="shared" si="6"/>
        <v>0.99985867337591106</v>
      </c>
      <c r="T12">
        <f t="shared" si="6"/>
        <v>0.99996056578257619</v>
      </c>
      <c r="U12">
        <f t="shared" si="6"/>
        <v>0.99998577046319925</v>
      </c>
      <c r="V12">
        <f t="shared" si="6"/>
        <v>0.99999369483673073</v>
      </c>
      <c r="W12">
        <f t="shared" si="6"/>
        <v>0.99999670827258202</v>
      </c>
      <c r="X12">
        <f t="shared" si="6"/>
        <v>0.9999980410459387</v>
      </c>
      <c r="Y12">
        <f t="shared" si="6"/>
        <v>0.99999870568843641</v>
      </c>
      <c r="Z12">
        <f t="shared" si="6"/>
        <v>0.99999907035426383</v>
      </c>
      <c r="AA12">
        <f t="shared" si="6"/>
        <v>0.99999928623767509</v>
      </c>
      <c r="AB12">
        <f t="shared" si="6"/>
        <v>0.99999942202001402</v>
      </c>
      <c r="AC12">
        <f t="shared" si="6"/>
        <v>0.99999951164446932</v>
      </c>
      <c r="AD12">
        <f t="shared" si="6"/>
        <v>0.99999957312243282</v>
      </c>
      <c r="AE12">
        <f t="shared" si="6"/>
        <v>0.99999961660732639</v>
      </c>
      <c r="AF12">
        <f t="shared" si="6"/>
        <v>0.99999964812742281</v>
      </c>
      <c r="AG12">
        <f t="shared" si="6"/>
        <v>0.99999967142539492</v>
      </c>
      <c r="AH12">
        <f t="shared" si="6"/>
        <v>0.99999968891648572</v>
      </c>
      <c r="AI12">
        <f t="shared" si="6"/>
        <v>0.99999970221237355</v>
      </c>
    </row>
    <row r="13" spans="1:35">
      <c r="A13" s="5">
        <v>3</v>
      </c>
      <c r="B13" s="25">
        <f>1-SUM(B11:B12)</f>
        <v>0.33333999999999997</v>
      </c>
      <c r="C13" s="18">
        <f>mpr3_/SUM(mpr1_,mpr2_,mpr3_)</f>
        <v>0.3333401903851978</v>
      </c>
    </row>
    <row r="14" spans="1:35">
      <c r="A14" s="27" t="s">
        <v>49</v>
      </c>
      <c r="B14" s="30">
        <v>0.4</v>
      </c>
      <c r="C14" s="29">
        <f>spr</f>
        <v>0.39853353853408335</v>
      </c>
    </row>
    <row r="15" spans="1:35">
      <c r="A15" s="5"/>
      <c r="B15" s="26" t="s">
        <v>50</v>
      </c>
      <c r="C15" s="26">
        <f>SUMXMY2(B11:B14,C11:C14)</f>
        <v>2.1505093871252273E-6</v>
      </c>
    </row>
    <row r="17" spans="1:35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100</v>
      </c>
      <c r="E18">
        <v>82</v>
      </c>
      <c r="F18">
        <v>0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>((EXP(g*(ah-age)/gh)/(1+EXP((ah-age)/gh))) *(1/(1-g))*((1-g)/g)^g) *(sr+(1-sr)*dmr)</f>
        <v>2.2660841037912323E-18</v>
      </c>
      <c r="L18" s="4">
        <f t="shared" ref="L18:AI18" si="7">((EXP(g*(ah-age)/gh)/(1+EXP((ah-age)/gh))) *(1/(1-g))*((1-g)/g)^g) *(sr+(1-sr)*dmr)</f>
        <v>6.2358484195451125E-14</v>
      </c>
      <c r="M18" s="4">
        <f t="shared" si="7"/>
        <v>3.6200651492535513E-10</v>
      </c>
      <c r="N18" s="4">
        <f t="shared" si="7"/>
        <v>5.9874058650038687E-7</v>
      </c>
      <c r="O18" s="4">
        <f t="shared" si="7"/>
        <v>2.2410083031335602E-4</v>
      </c>
      <c r="P18" s="4">
        <f t="shared" si="7"/>
        <v>6.2942398241139993E-3</v>
      </c>
      <c r="Q18" s="4">
        <f t="shared" si="7"/>
        <v>7.547885753086013E-2</v>
      </c>
      <c r="R18" s="4">
        <f t="shared" si="7"/>
        <v>0.49971319687174481</v>
      </c>
      <c r="S18" s="4">
        <f t="shared" si="7"/>
        <v>0.92410373927527512</v>
      </c>
      <c r="T18" s="4">
        <f t="shared" si="7"/>
        <v>0.99334260502214955</v>
      </c>
      <c r="U18" s="4">
        <f t="shared" si="7"/>
        <v>0.99948310172921173</v>
      </c>
      <c r="V18" s="4">
        <f t="shared" si="7"/>
        <v>0.99997342547539469</v>
      </c>
      <c r="W18" s="4">
        <f t="shared" si="7"/>
        <v>0.99999311084931608</v>
      </c>
      <c r="X18" s="4">
        <f t="shared" si="7"/>
        <v>0.99997286471456404</v>
      </c>
      <c r="Y18" s="4">
        <f t="shared" si="7"/>
        <v>0.99994881109245382</v>
      </c>
      <c r="Z18" s="4">
        <f t="shared" si="7"/>
        <v>0.99992420037026464</v>
      </c>
      <c r="AA18" s="4">
        <f t="shared" si="7"/>
        <v>0.99989942033135415</v>
      </c>
      <c r="AB18" s="4">
        <f t="shared" si="7"/>
        <v>0.99987455907897871</v>
      </c>
      <c r="AC18" s="4">
        <f t="shared" si="7"/>
        <v>0.99984965215123045</v>
      </c>
      <c r="AD18" s="4">
        <f t="shared" si="7"/>
        <v>0.99982471769063697</v>
      </c>
      <c r="AE18" s="4">
        <f t="shared" si="7"/>
        <v>0.99979976586142616</v>
      </c>
      <c r="AF18" s="4">
        <f t="shared" si="7"/>
        <v>0.99977480269273089</v>
      </c>
      <c r="AG18" s="4">
        <f t="shared" si="7"/>
        <v>0.99974983192724243</v>
      </c>
      <c r="AH18" s="4">
        <f t="shared" si="7"/>
        <v>0.99972485598014738</v>
      </c>
      <c r="AI18" s="4">
        <f t="shared" si="7"/>
        <v>0.99969987646306058</v>
      </c>
    </row>
    <row r="19" spans="1:35">
      <c r="A19" t="s">
        <v>21</v>
      </c>
      <c r="B19">
        <v>12</v>
      </c>
      <c r="E19">
        <v>0</v>
      </c>
      <c r="F19">
        <v>0</v>
      </c>
      <c r="G19" s="3">
        <v>4</v>
      </c>
      <c r="H19" s="3">
        <v>0.05</v>
      </c>
      <c r="I19" s="7">
        <v>0.02</v>
      </c>
      <c r="J19" s="8" t="s">
        <v>17</v>
      </c>
      <c r="K19" s="4">
        <f t="shared" ref="K19:T20" si="8">(EXP(g*(ah-age)/gh)/(1+EXP((ah-age)/gh))) *(1/(1-g))*((1-g)/g)^g</f>
        <v>3.2067293740165511E-26</v>
      </c>
      <c r="L19" s="4">
        <f t="shared" si="8"/>
        <v>1.042879559395233E-17</v>
      </c>
      <c r="M19" s="4">
        <f t="shared" si="8"/>
        <v>3.3916107232972742E-9</v>
      </c>
      <c r="N19" s="4">
        <f t="shared" si="8"/>
        <v>0.55150296322207493</v>
      </c>
      <c r="O19" s="4">
        <f t="shared" si="8"/>
        <v>0.73936698186767658</v>
      </c>
      <c r="P19" s="4">
        <f t="shared" si="8"/>
        <v>0.49561251034430615</v>
      </c>
      <c r="Q19" s="4">
        <f t="shared" si="8"/>
        <v>0.33221900074983407</v>
      </c>
      <c r="R19" s="4">
        <f t="shared" si="8"/>
        <v>0.22269305587654287</v>
      </c>
      <c r="S19" s="4">
        <f t="shared" si="8"/>
        <v>0.1492756194669814</v>
      </c>
      <c r="T19" s="4">
        <f t="shared" si="8"/>
        <v>0.10006244011310554</v>
      </c>
      <c r="U19" s="4">
        <f t="shared" ref="U19:AI20" si="9">(EXP(g*(ah-age)/gh)/(1+EXP((ah-age)/gh))) *(1/(1-g))*((1-g)/g)^g</f>
        <v>6.7073859463055288E-2</v>
      </c>
      <c r="V19" s="4">
        <f t="shared" si="9"/>
        <v>4.4960952563063247E-2</v>
      </c>
      <c r="W19" s="4">
        <f t="shared" si="9"/>
        <v>3.013822779187875E-2</v>
      </c>
      <c r="X19" s="4">
        <f t="shared" si="9"/>
        <v>2.020225824088474E-2</v>
      </c>
      <c r="Y19" s="4">
        <f t="shared" si="9"/>
        <v>1.3541978674053741E-2</v>
      </c>
      <c r="Z19" s="4">
        <f t="shared" si="9"/>
        <v>9.0774597682053461E-3</v>
      </c>
      <c r="AA19" s="4">
        <f t="shared" si="9"/>
        <v>6.0848032497100683E-3</v>
      </c>
      <c r="AB19" s="4">
        <f t="shared" si="9"/>
        <v>4.07876559446346E-3</v>
      </c>
      <c r="AC19" s="4">
        <f t="shared" si="9"/>
        <v>2.734078341049332E-3</v>
      </c>
      <c r="AD19" s="4">
        <f t="shared" si="9"/>
        <v>1.832707519437232E-3</v>
      </c>
      <c r="AE19" s="4">
        <f t="shared" si="9"/>
        <v>1.2285005887990271E-3</v>
      </c>
      <c r="AF19" s="4">
        <f t="shared" si="9"/>
        <v>8.2348857123857417E-4</v>
      </c>
      <c r="AG19" s="4">
        <f t="shared" si="9"/>
        <v>5.5200089698246365E-4</v>
      </c>
      <c r="AH19" s="4">
        <f t="shared" si="9"/>
        <v>3.7001726667699921E-4</v>
      </c>
      <c r="AI19" s="4">
        <f t="shared" si="9"/>
        <v>2.4802999123290785E-4</v>
      </c>
    </row>
    <row r="20" spans="1:35">
      <c r="A20" t="s">
        <v>5</v>
      </c>
      <c r="B20">
        <v>0.15</v>
      </c>
      <c r="E20">
        <v>0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 t="shared" si="8"/>
        <v>8.1586526895818766E-3</v>
      </c>
      <c r="L20" s="4">
        <f t="shared" si="8"/>
        <v>8.7961978443441266E-2</v>
      </c>
      <c r="M20" s="4">
        <f t="shared" si="8"/>
        <v>0.55150296322207493</v>
      </c>
      <c r="N20" s="4">
        <f t="shared" si="8"/>
        <v>0.96962040317224751</v>
      </c>
      <c r="O20" s="4">
        <f t="shared" si="8"/>
        <v>0.99136129470144307</v>
      </c>
      <c r="P20" s="4">
        <f t="shared" si="8"/>
        <v>0.94884120969175767</v>
      </c>
      <c r="Q20" s="4">
        <f t="shared" si="8"/>
        <v>0.90302387558657016</v>
      </c>
      <c r="R20" s="4">
        <f t="shared" si="8"/>
        <v>0.85901867798242304</v>
      </c>
      <c r="S20" s="4">
        <f t="shared" si="8"/>
        <v>0.81712663786881001</v>
      </c>
      <c r="T20" s="4">
        <f t="shared" si="8"/>
        <v>0.77727511973697594</v>
      </c>
      <c r="U20" s="4">
        <f t="shared" si="9"/>
        <v>0.73936698186767658</v>
      </c>
      <c r="V20" s="4">
        <f t="shared" si="9"/>
        <v>0.70330762998745233</v>
      </c>
      <c r="W20" s="4">
        <f t="shared" si="9"/>
        <v>0.66900691222382347</v>
      </c>
      <c r="X20" s="4">
        <f t="shared" si="9"/>
        <v>0.63637906010977985</v>
      </c>
      <c r="Y20" s="4">
        <f t="shared" si="9"/>
        <v>0.60534248711316452</v>
      </c>
      <c r="Z20" s="4">
        <f t="shared" si="9"/>
        <v>0.57581958564253577</v>
      </c>
      <c r="AA20" s="4">
        <f t="shared" si="9"/>
        <v>0.54773653306699277</v>
      </c>
      <c r="AB20" s="4">
        <f t="shared" si="9"/>
        <v>0.52102310712733224</v>
      </c>
      <c r="AC20" s="4">
        <f t="shared" si="9"/>
        <v>0.49561251034430615</v>
      </c>
      <c r="AD20" s="4">
        <f t="shared" si="9"/>
        <v>0.47144120299016851</v>
      </c>
      <c r="AE20" s="4">
        <f t="shared" si="9"/>
        <v>0.4484487442062623</v>
      </c>
      <c r="AF20" s="4">
        <f t="shared" si="9"/>
        <v>0.42657764086939076</v>
      </c>
      <c r="AG20" s="4">
        <f t="shared" si="9"/>
        <v>0.40577320382906285</v>
      </c>
      <c r="AH20" s="4">
        <f t="shared" si="9"/>
        <v>0.38598341115613044</v>
      </c>
      <c r="AI20" s="4">
        <f t="shared" si="9"/>
        <v>0.36715877806086844</v>
      </c>
    </row>
    <row r="21" spans="1:35">
      <c r="A21" t="s">
        <v>42</v>
      </c>
      <c r="B21" s="1">
        <f>Bo/phie</f>
        <v>2.0910291228819919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si="10">wa*flt1_*(1-EXP(-za))/za</f>
        <v>4.4204038126716157E-19</v>
      </c>
      <c r="L22" s="1">
        <f t="shared" si="10"/>
        <v>8.1397275756865859E-14</v>
      </c>
      <c r="M22" s="1">
        <f t="shared" si="10"/>
        <v>1.2564325463519298E-9</v>
      </c>
      <c r="N22" s="1">
        <f t="shared" si="10"/>
        <v>3.7591856518857484E-6</v>
      </c>
      <c r="O22" s="1">
        <f t="shared" si="10"/>
        <v>2.1260415079633905E-3</v>
      </c>
      <c r="P22" s="1">
        <f t="shared" si="10"/>
        <v>8.1211527583077509E-2</v>
      </c>
      <c r="Q22" s="1">
        <f t="shared" si="10"/>
        <v>1.2187484187704531</v>
      </c>
      <c r="R22" s="1">
        <f t="shared" si="10"/>
        <v>9.4401842092923935</v>
      </c>
      <c r="S22" s="1">
        <f t="shared" si="10"/>
        <v>19.614840951060593</v>
      </c>
      <c r="T22" s="1">
        <f t="shared" si="10"/>
        <v>23.247230298596349</v>
      </c>
      <c r="U22" s="1">
        <f t="shared" si="10"/>
        <v>25.270380740170985</v>
      </c>
      <c r="V22" s="1">
        <f t="shared" si="10"/>
        <v>26.860291386981505</v>
      </c>
      <c r="W22" s="1">
        <f t="shared" si="10"/>
        <v>28.16874437052644</v>
      </c>
      <c r="X22" s="1">
        <f t="shared" si="10"/>
        <v>29.244184852698897</v>
      </c>
      <c r="Y22" s="1">
        <f t="shared" si="10"/>
        <v>30.12364342457245</v>
      </c>
      <c r="Z22" s="1">
        <f t="shared" si="10"/>
        <v>30.839771274480682</v>
      </c>
      <c r="AA22" s="1">
        <f t="shared" si="10"/>
        <v>31.421010761804673</v>
      </c>
      <c r="AB22" s="1">
        <f t="shared" si="10"/>
        <v>31.891639701099198</v>
      </c>
      <c r="AC22" s="1">
        <f t="shared" si="10"/>
        <v>32.272057732760956</v>
      </c>
      <c r="AD22" s="1">
        <f t="shared" si="10"/>
        <v>32.579207156794922</v>
      </c>
      <c r="AE22" s="1">
        <f t="shared" si="10"/>
        <v>32.827036709872118</v>
      </c>
      <c r="AF22" s="1">
        <f t="shared" si="10"/>
        <v>33.026954939856068</v>
      </c>
      <c r="AG22" s="1">
        <f t="shared" si="10"/>
        <v>33.188245857154953</v>
      </c>
      <c r="AH22" s="1">
        <f t="shared" si="10"/>
        <v>33.318435342079908</v>
      </c>
      <c r="AI22" s="1">
        <f t="shared" si="10"/>
        <v>33.42360587289258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si="11">wa*flt2_*(1-EXP(-za))/za</f>
        <v>6.2553012606167289E-27</v>
      </c>
      <c r="L23" s="1">
        <f t="shared" si="11"/>
        <v>1.3612831705663053E-17</v>
      </c>
      <c r="M23" s="1">
        <f t="shared" si="11"/>
        <v>1.1771418252474215E-8</v>
      </c>
      <c r="N23" s="1">
        <f t="shared" si="11"/>
        <v>3.4626047959011346</v>
      </c>
      <c r="O23" s="1">
        <f t="shared" si="11"/>
        <v>7.0143644308247435</v>
      </c>
      <c r="P23" s="1">
        <f t="shared" si="11"/>
        <v>6.3946481511785365</v>
      </c>
      <c r="Q23" s="1">
        <f t="shared" si="11"/>
        <v>5.3643019395705247</v>
      </c>
      <c r="R23" s="1">
        <f t="shared" si="11"/>
        <v>4.2069400663524412</v>
      </c>
      <c r="S23" s="1">
        <f t="shared" si="11"/>
        <v>3.1684944116903706</v>
      </c>
      <c r="T23" s="1">
        <f t="shared" si="11"/>
        <v>2.3417646417139242</v>
      </c>
      <c r="U23" s="1">
        <f t="shared" si="11"/>
        <v>1.6958585526975183</v>
      </c>
      <c r="V23" s="1">
        <f t="shared" si="11"/>
        <v>1.2076963808373202</v>
      </c>
      <c r="W23" s="1">
        <f t="shared" si="11"/>
        <v>0.84896188307646547</v>
      </c>
      <c r="X23" s="1">
        <f t="shared" si="11"/>
        <v>0.59081460636137628</v>
      </c>
      <c r="Y23" s="1">
        <f t="shared" si="11"/>
        <v>0.40795461959166462</v>
      </c>
      <c r="Z23" s="1">
        <f t="shared" si="11"/>
        <v>0.27996800447583037</v>
      </c>
      <c r="AA23" s="1">
        <f t="shared" si="11"/>
        <v>0.19120990022101014</v>
      </c>
      <c r="AB23" s="1">
        <f t="shared" si="11"/>
        <v>0.13009484198066656</v>
      </c>
      <c r="AC23" s="1">
        <f t="shared" si="11"/>
        <v>8.8247601905340894E-2</v>
      </c>
      <c r="AD23" s="1">
        <f t="shared" si="11"/>
        <v>5.9718625552160114E-2</v>
      </c>
      <c r="AE23" s="1">
        <f t="shared" si="11"/>
        <v>4.0336110592963173E-2</v>
      </c>
      <c r="AF23" s="1">
        <f t="shared" si="11"/>
        <v>2.720344607858818E-2</v>
      </c>
      <c r="AG23" s="1">
        <f t="shared" si="11"/>
        <v>1.8324525693701056E-2</v>
      </c>
      <c r="AH23" s="1">
        <f t="shared" si="11"/>
        <v>1.2331789393336396E-2</v>
      </c>
      <c r="AI23" s="1">
        <f t="shared" si="11"/>
        <v>8.2925454596993117E-3</v>
      </c>
    </row>
    <row r="24" spans="1:35">
      <c r="B24" s="1"/>
      <c r="J24" s="8" t="s">
        <v>25</v>
      </c>
      <c r="K24" s="1">
        <f t="shared" ref="K24:AI24" si="12">wa*flt3_*(1-EXP(-za))/za</f>
        <v>1.5914916571257928E-3</v>
      </c>
      <c r="L24" s="1">
        <f t="shared" si="12"/>
        <v>0.11481782323378815</v>
      </c>
      <c r="M24" s="1">
        <f t="shared" si="12"/>
        <v>1.9141265248903765</v>
      </c>
      <c r="N24" s="1">
        <f t="shared" si="12"/>
        <v>6.0877501702123755</v>
      </c>
      <c r="O24" s="1">
        <f t="shared" si="12"/>
        <v>9.4050310254382889</v>
      </c>
      <c r="P24" s="1">
        <f t="shared" si="12"/>
        <v>12.242438519363157</v>
      </c>
      <c r="Q24" s="1">
        <f t="shared" si="12"/>
        <v>14.581022507304466</v>
      </c>
      <c r="R24" s="1">
        <f t="shared" si="12"/>
        <v>16.227897542314075</v>
      </c>
      <c r="S24" s="1">
        <f t="shared" si="12"/>
        <v>17.344166414953957</v>
      </c>
      <c r="T24" s="1">
        <f t="shared" si="12"/>
        <v>18.190595694313966</v>
      </c>
      <c r="U24" s="1">
        <f t="shared" si="12"/>
        <v>18.693747904473653</v>
      </c>
      <c r="V24" s="1">
        <f t="shared" si="12"/>
        <v>18.89154991010826</v>
      </c>
      <c r="W24" s="1">
        <f t="shared" si="12"/>
        <v>18.845214520070602</v>
      </c>
      <c r="X24" s="1">
        <f t="shared" si="12"/>
        <v>18.610891882100624</v>
      </c>
      <c r="Y24" s="1">
        <f t="shared" si="12"/>
        <v>18.236054715259638</v>
      </c>
      <c r="Z24" s="1">
        <f t="shared" si="12"/>
        <v>17.75949047938467</v>
      </c>
      <c r="AA24" s="1">
        <f t="shared" si="12"/>
        <v>17.212166694154334</v>
      </c>
      <c r="AB24" s="1">
        <f t="shared" si="12"/>
        <v>16.618365831567871</v>
      </c>
      <c r="AC24" s="1">
        <f t="shared" si="12"/>
        <v>15.99684063748699</v>
      </c>
      <c r="AD24" s="1">
        <f t="shared" si="12"/>
        <v>15.361873279089806</v>
      </c>
      <c r="AE24" s="1">
        <f t="shared" si="12"/>
        <v>14.724191674391143</v>
      </c>
      <c r="AF24" s="1">
        <f t="shared" si="12"/>
        <v>14.091733943882389</v>
      </c>
      <c r="AG24" s="1">
        <f t="shared" si="12"/>
        <v>13.470270682580573</v>
      </c>
      <c r="AH24" s="1">
        <f t="shared" si="12"/>
        <v>12.863902753635607</v>
      </c>
      <c r="AI24" s="1">
        <f t="shared" si="12"/>
        <v>12.275454443484424</v>
      </c>
    </row>
    <row r="25" spans="1:35">
      <c r="J25" s="2" t="s">
        <v>29</v>
      </c>
    </row>
    <row r="26" spans="1:35">
      <c r="A26" s="14" t="s">
        <v>13</v>
      </c>
      <c r="B26" s="14"/>
      <c r="C26" s="14"/>
      <c r="J26" s="8" t="s">
        <v>30</v>
      </c>
      <c r="K26">
        <f>qa1_/wa</f>
        <v>2.1041210104064897E-18</v>
      </c>
      <c r="L26">
        <f t="shared" ref="L26:AI26" si="13">qa1_/wa</f>
        <v>5.7849034678136147E-14</v>
      </c>
      <c r="M26">
        <f t="shared" si="13"/>
        <v>3.3406436789663662E-10</v>
      </c>
      <c r="N26">
        <f t="shared" si="13"/>
        <v>5.404088635192076E-7</v>
      </c>
      <c r="O26">
        <f t="shared" si="13"/>
        <v>2.0102492040487634E-4</v>
      </c>
      <c r="P26">
        <f t="shared" si="13"/>
        <v>5.6912762772690232E-3</v>
      </c>
      <c r="Q26">
        <f t="shared" si="13"/>
        <v>6.8490290516342353E-2</v>
      </c>
      <c r="R26">
        <f t="shared" si="13"/>
        <v>0.44933135288054371</v>
      </c>
      <c r="S26">
        <f t="shared" si="13"/>
        <v>0.82246527148563175</v>
      </c>
      <c r="T26">
        <f t="shared" si="13"/>
        <v>0.88397310267600671</v>
      </c>
      <c r="U26">
        <f t="shared" si="13"/>
        <v>0.89056888778828436</v>
      </c>
      <c r="V26">
        <f t="shared" si="13"/>
        <v>0.8919712218426894</v>
      </c>
      <c r="W26">
        <f t="shared" si="13"/>
        <v>0.89274661917371934</v>
      </c>
      <c r="X26">
        <f t="shared" si="13"/>
        <v>0.89333449402527054</v>
      </c>
      <c r="Y26">
        <f t="shared" si="13"/>
        <v>0.89381169460607746</v>
      </c>
      <c r="Z26">
        <f t="shared" si="13"/>
        <v>0.89421190352404101</v>
      </c>
      <c r="AA26">
        <f t="shared" si="13"/>
        <v>0.89455639672477083</v>
      </c>
      <c r="AB26">
        <f t="shared" si="13"/>
        <v>0.89485950846722517</v>
      </c>
      <c r="AC26">
        <f t="shared" si="13"/>
        <v>0.89513103060378496</v>
      </c>
      <c r="AD26">
        <f t="shared" si="13"/>
        <v>0.89537771220433626</v>
      </c>
      <c r="AE26">
        <f t="shared" si="13"/>
        <v>0.89560425487477557</v>
      </c>
      <c r="AF26">
        <f t="shared" si="13"/>
        <v>0.89581397920145134</v>
      </c>
      <c r="AG26">
        <f t="shared" si="13"/>
        <v>0.89600927177045309</v>
      </c>
      <c r="AH26">
        <f t="shared" si="13"/>
        <v>0.8961918852332228</v>
      </c>
      <c r="AI26">
        <f t="shared" si="13"/>
        <v>0.89636313986310767</v>
      </c>
    </row>
    <row r="27" spans="1:35">
      <c r="A27" t="s">
        <v>14</v>
      </c>
      <c r="B27" s="28">
        <v>6.3773583469518225E-2</v>
      </c>
      <c r="C27" s="36">
        <v>0.90209129860381354</v>
      </c>
      <c r="J27" s="8" t="s">
        <v>31</v>
      </c>
      <c r="K27">
        <f t="shared" ref="K27:AI27" si="14">qa2_/wa</f>
        <v>2.9775358466472383E-26</v>
      </c>
      <c r="L27">
        <f t="shared" si="14"/>
        <v>9.6746379542328672E-18</v>
      </c>
      <c r="M27">
        <f t="shared" si="14"/>
        <v>3.1298229333341796E-9</v>
      </c>
      <c r="N27">
        <f t="shared" si="14"/>
        <v>0.4977733200355281</v>
      </c>
      <c r="O27">
        <f t="shared" si="14"/>
        <v>0.66323354747108754</v>
      </c>
      <c r="P27">
        <f t="shared" si="14"/>
        <v>0.44813477110198058</v>
      </c>
      <c r="Q27">
        <f t="shared" si="14"/>
        <v>0.30145893327945555</v>
      </c>
      <c r="R27">
        <f t="shared" si="14"/>
        <v>0.20024080352593018</v>
      </c>
      <c r="S27">
        <f t="shared" si="14"/>
        <v>0.1328573921661455</v>
      </c>
      <c r="T27">
        <f t="shared" si="14"/>
        <v>8.9045315484219775E-2</v>
      </c>
      <c r="U27">
        <f t="shared" si="14"/>
        <v>5.9764784735564673E-2</v>
      </c>
      <c r="V27">
        <f t="shared" si="14"/>
        <v>4.0104941562643076E-2</v>
      </c>
      <c r="W27">
        <f t="shared" si="14"/>
        <v>2.6905986328481301E-2</v>
      </c>
      <c r="X27">
        <f t="shared" si="14"/>
        <v>1.8047863877726451E-2</v>
      </c>
      <c r="Y27">
        <f t="shared" si="14"/>
        <v>1.2104598528150278E-2</v>
      </c>
      <c r="Z27">
        <f t="shared" si="14"/>
        <v>8.1177879038071814E-3</v>
      </c>
      <c r="AA27">
        <f t="shared" si="14"/>
        <v>5.4437472001293953E-3</v>
      </c>
      <c r="AB27">
        <f t="shared" si="14"/>
        <v>3.6503800820541733E-3</v>
      </c>
      <c r="AC27">
        <f t="shared" si="14"/>
        <v>2.4477263735696183E-3</v>
      </c>
      <c r="AD27">
        <f t="shared" si="14"/>
        <v>1.6412531485355177E-3</v>
      </c>
      <c r="AE27">
        <f t="shared" si="14"/>
        <v>1.1004707062484671E-3</v>
      </c>
      <c r="AF27">
        <f t="shared" si="14"/>
        <v>7.3785873762900397E-4</v>
      </c>
      <c r="AG27">
        <f t="shared" si="14"/>
        <v>4.947216852924551E-4</v>
      </c>
      <c r="AH27">
        <f t="shared" si="14"/>
        <v>3.3169773644068441E-4</v>
      </c>
      <c r="AI27">
        <f t="shared" si="14"/>
        <v>2.2239168670134713E-4</v>
      </c>
    </row>
    <row r="28" spans="1:35">
      <c r="A28" t="s">
        <v>15</v>
      </c>
      <c r="B28" s="28">
        <v>6.5291906864652541E-2</v>
      </c>
      <c r="C28" s="36">
        <v>1.0418238884169517</v>
      </c>
      <c r="J28" s="8" t="s">
        <v>32</v>
      </c>
      <c r="K28">
        <f t="shared" ref="K28:AI28" si="15">qa3_/wa</f>
        <v>7.575531954898778E-3</v>
      </c>
      <c r="L28">
        <f t="shared" si="15"/>
        <v>8.1601013991666138E-2</v>
      </c>
      <c r="M28">
        <f t="shared" si="15"/>
        <v>0.5089341799273801</v>
      </c>
      <c r="N28">
        <f t="shared" si="15"/>
        <v>0.87515607249219207</v>
      </c>
      <c r="O28">
        <f t="shared" si="15"/>
        <v>0.8892797277063702</v>
      </c>
      <c r="P28">
        <f t="shared" si="15"/>
        <v>0.85794593445985889</v>
      </c>
      <c r="Q28">
        <f t="shared" si="15"/>
        <v>0.81941313906123159</v>
      </c>
      <c r="R28">
        <f t="shared" si="15"/>
        <v>0.7724111092998891</v>
      </c>
      <c r="S28">
        <f t="shared" si="15"/>
        <v>0.72725415285081696</v>
      </c>
      <c r="T28">
        <f t="shared" si="15"/>
        <v>0.69169518729284596</v>
      </c>
      <c r="U28">
        <f t="shared" si="15"/>
        <v>0.65879776213332308</v>
      </c>
      <c r="V28">
        <f t="shared" si="15"/>
        <v>0.62734683749516307</v>
      </c>
      <c r="W28">
        <f t="shared" si="15"/>
        <v>0.59725777369046773</v>
      </c>
      <c r="X28">
        <f t="shared" si="15"/>
        <v>0.56851479248261605</v>
      </c>
      <c r="Y28">
        <f t="shared" si="15"/>
        <v>0.54108989202413216</v>
      </c>
      <c r="Z28">
        <f t="shared" si="15"/>
        <v>0.5149437603102025</v>
      </c>
      <c r="AA28">
        <f t="shared" si="15"/>
        <v>0.49003050648089547</v>
      </c>
      <c r="AB28">
        <f t="shared" si="15"/>
        <v>0.46630097476777899</v>
      </c>
      <c r="AC28">
        <f t="shared" si="15"/>
        <v>0.44370484723389803</v>
      </c>
      <c r="AD28">
        <f t="shared" si="15"/>
        <v>0.42219194855193382</v>
      </c>
      <c r="AE28">
        <f t="shared" si="15"/>
        <v>0.40171304006891051</v>
      </c>
      <c r="AF28">
        <f t="shared" si="15"/>
        <v>0.3822202888854172</v>
      </c>
      <c r="AG28">
        <f t="shared" si="15"/>
        <v>0.36366753087216508</v>
      </c>
      <c r="AH28">
        <f t="shared" si="15"/>
        <v>0.34601040360612179</v>
      </c>
      <c r="AI28">
        <f t="shared" si="15"/>
        <v>0.32920639771940857</v>
      </c>
    </row>
    <row r="29" spans="1:35">
      <c r="A29" t="s">
        <v>19</v>
      </c>
      <c r="B29" s="28">
        <v>2.3330818388441223E-2</v>
      </c>
      <c r="C29" s="36">
        <v>1.0734109767966595</v>
      </c>
    </row>
    <row r="30" spans="1:35">
      <c r="A30" t="s">
        <v>95</v>
      </c>
      <c r="B30" s="28">
        <f>AVERAGE(B27:B29)</f>
        <v>5.079876957420399E-2</v>
      </c>
      <c r="C30" s="36"/>
      <c r="G30" t="s">
        <v>58</v>
      </c>
      <c r="H30" t="s">
        <v>59</v>
      </c>
      <c r="J30" s="2" t="s">
        <v>51</v>
      </c>
    </row>
    <row r="31" spans="1:35">
      <c r="G31">
        <f>SUMPRODUCT(dlz1_,wa,ma)</f>
        <v>-128.6704039304623</v>
      </c>
      <c r="H31">
        <f>Ro/(reck-1)*phie/phif^2*dphif</f>
        <v>-3.2201521453196222</v>
      </c>
      <c r="J31" s="8" t="s">
        <v>52</v>
      </c>
      <c r="K31">
        <v>0</v>
      </c>
      <c r="L31">
        <f t="shared" ref="L31:AH31" si="16">K31*sa-K$7*K18*K$10</f>
        <v>-1.9500654369111785E-18</v>
      </c>
      <c r="M31">
        <f t="shared" si="16"/>
        <v>-4.6094475784261112E-14</v>
      </c>
      <c r="N31">
        <f t="shared" si="16"/>
        <v>-2.274014970811165E-10</v>
      </c>
      <c r="O31">
        <f t="shared" si="16"/>
        <v>-3.0541910045634833E-7</v>
      </c>
      <c r="P31">
        <f t="shared" si="16"/>
        <v>-9.1803615803591715E-5</v>
      </c>
      <c r="Q31">
        <f t="shared" si="16"/>
        <v>-2.1703966752147975E-3</v>
      </c>
      <c r="R31">
        <f t="shared" si="16"/>
        <v>-2.2367180799586661E-2</v>
      </c>
      <c r="S31">
        <f t="shared" si="16"/>
        <v>-0.1275765412037814</v>
      </c>
      <c r="T31">
        <f t="shared" si="16"/>
        <v>-0.26084698813547863</v>
      </c>
      <c r="U31">
        <f t="shared" si="16"/>
        <v>-0.34194873710106116</v>
      </c>
      <c r="V31">
        <f t="shared" si="16"/>
        <v>-0.37883322161542476</v>
      </c>
      <c r="W31">
        <f t="shared" si="16"/>
        <v>-0.38616555579588008</v>
      </c>
      <c r="X31">
        <f t="shared" si="16"/>
        <v>-0.3747429264546957</v>
      </c>
      <c r="Y31">
        <f t="shared" si="16"/>
        <v>-0.35206303583852089</v>
      </c>
      <c r="Z31">
        <f t="shared" si="16"/>
        <v>-0.32326205113189965</v>
      </c>
      <c r="AA31">
        <f t="shared" si="16"/>
        <v>-0.29180367631945264</v>
      </c>
      <c r="AB31">
        <f t="shared" si="16"/>
        <v>-0.25996891457737931</v>
      </c>
      <c r="AC31">
        <f t="shared" si="16"/>
        <v>-0.22920614419122862</v>
      </c>
      <c r="AD31">
        <f t="shared" si="16"/>
        <v>-0.20038248054649416</v>
      </c>
      <c r="AE31">
        <f t="shared" si="16"/>
        <v>-0.17396441657105335</v>
      </c>
      <c r="AF31">
        <f t="shared" si="16"/>
        <v>-0.15014734210278069</v>
      </c>
      <c r="AG31">
        <f t="shared" si="16"/>
        <v>-0.12894794138194385</v>
      </c>
      <c r="AH31">
        <f t="shared" si="16"/>
        <v>-0.11026959978572752</v>
      </c>
      <c r="AI31">
        <f>(AH31*sa-AH$7*AH18*AH$10)/oa-AH$7*AH$10*flt1_*sa/oa^2</f>
        <v>-0.58531288690435845</v>
      </c>
    </row>
    <row r="32" spans="1:35">
      <c r="A32" s="12" t="s">
        <v>22</v>
      </c>
      <c r="B32" s="12"/>
      <c r="C32" s="12"/>
      <c r="G32">
        <f>SUMPRODUCT(dlz2_,wa,ma)</f>
        <v>-50.2173136684412</v>
      </c>
      <c r="H32">
        <f>Ro/(reck-1)*phie/phif^2*dphif</f>
        <v>-1.256756685313674</v>
      </c>
      <c r="J32" s="8" t="s">
        <v>53</v>
      </c>
      <c r="K32">
        <v>0</v>
      </c>
      <c r="L32">
        <f t="shared" ref="L32:AH32" si="17">K32*sa-K$7*K19*K$10</f>
        <v>-2.7595322288945356E-26</v>
      </c>
      <c r="M32">
        <f t="shared" si="17"/>
        <v>-7.7085354677206983E-18</v>
      </c>
      <c r="N32">
        <f t="shared" si="17"/>
        <v>-2.1301563108275772E-9</v>
      </c>
      <c r="O32">
        <f t="shared" si="17"/>
        <v>-0.28115521214775141</v>
      </c>
      <c r="P32">
        <f t="shared" si="17"/>
        <v>-0.53112873187347776</v>
      </c>
      <c r="Q32">
        <f t="shared" si="17"/>
        <v>-0.60087378484421405</v>
      </c>
      <c r="R32">
        <f t="shared" si="17"/>
        <v>-0.57468241969814415</v>
      </c>
      <c r="S32">
        <f t="shared" si="17"/>
        <v>-0.50207695884694759</v>
      </c>
      <c r="T32">
        <f t="shared" si="17"/>
        <v>-0.42162472106143362</v>
      </c>
      <c r="U32">
        <f t="shared" si="17"/>
        <v>-0.34688115009233356</v>
      </c>
      <c r="V32">
        <f t="shared" si="17"/>
        <v>-0.2819981804652566</v>
      </c>
      <c r="W32">
        <f t="shared" si="17"/>
        <v>-0.22760255865280968</v>
      </c>
      <c r="X32">
        <f t="shared" si="17"/>
        <v>-0.18289554081003426</v>
      </c>
      <c r="Y32">
        <f t="shared" si="17"/>
        <v>-0.14658439360741526</v>
      </c>
      <c r="Z32">
        <f t="shared" si="17"/>
        <v>-0.1173044633970137</v>
      </c>
      <c r="AA32">
        <f t="shared" si="17"/>
        <v>-9.3797882164372862E-2</v>
      </c>
      <c r="AB32">
        <f t="shared" si="17"/>
        <v>-7.497595823199095E-2</v>
      </c>
      <c r="AC32">
        <f t="shared" si="17"/>
        <v>-5.9927867763787952E-2</v>
      </c>
      <c r="AD32">
        <f t="shared" si="17"/>
        <v>-4.7906465730367678E-2</v>
      </c>
      <c r="AE32">
        <f t="shared" si="17"/>
        <v>-3.8306112429363902E-2</v>
      </c>
      <c r="AF32">
        <f t="shared" si="17"/>
        <v>-3.0639432347497986E-2</v>
      </c>
      <c r="AG32">
        <f t="shared" si="17"/>
        <v>-2.4515959446467783E-2</v>
      </c>
      <c r="AH32">
        <f t="shared" si="17"/>
        <v>-1.9623697102074511E-2</v>
      </c>
      <c r="AI32">
        <f>(AH32*sa-AH$7*AH19*AH$10)/oa-AH$7*AH$10*flt2_*sa/oa^2</f>
        <v>-7.8851396823512512E-2</v>
      </c>
    </row>
    <row r="33" spans="1:35">
      <c r="A33" t="s">
        <v>28</v>
      </c>
      <c r="B33" s="1">
        <f>SUMPRODUCT(lx,wa,ma)</f>
        <v>47.823341581284872</v>
      </c>
      <c r="G33">
        <f>SUMPRODUCT(dlz3_,wa,ma)</f>
        <v>-178.4681171663533</v>
      </c>
      <c r="H33">
        <f>Ro/(reck-1)*phie/phif^2*dphif</f>
        <v>-4.466407758189443</v>
      </c>
      <c r="J33" s="8" t="s">
        <v>54</v>
      </c>
      <c r="K33">
        <v>0</v>
      </c>
      <c r="L33">
        <f t="shared" ref="L33:AH33" si="18">K33*sa-K$7*K20*K$10</f>
        <v>-7.0208809086557081E-3</v>
      </c>
      <c r="M33">
        <f t="shared" si="18"/>
        <v>-7.0983537278007033E-2</v>
      </c>
      <c r="N33">
        <f t="shared" si="18"/>
        <v>-0.40399738511546845</v>
      </c>
      <c r="O33">
        <f t="shared" si="18"/>
        <v>-0.81806672873651354</v>
      </c>
      <c r="P33">
        <f t="shared" si="18"/>
        <v>-1.0715172789648963</v>
      </c>
      <c r="Q33">
        <f t="shared" si="18"/>
        <v>-1.1952397420202971</v>
      </c>
      <c r="R33">
        <f t="shared" si="18"/>
        <v>-1.2093001489592852</v>
      </c>
      <c r="S33">
        <f t="shared" si="18"/>
        <v>-1.1424106928609778</v>
      </c>
      <c r="T33">
        <f t="shared" si="18"/>
        <v>-1.0421726450711921</v>
      </c>
      <c r="U33">
        <f t="shared" si="18"/>
        <v>-0.92987336043702995</v>
      </c>
      <c r="V33">
        <f t="shared" si="18"/>
        <v>-0.81640153939359783</v>
      </c>
      <c r="W33">
        <f t="shared" si="18"/>
        <v>-0.70797140158372052</v>
      </c>
      <c r="X33">
        <f t="shared" si="18"/>
        <v>-0.60796937728938438</v>
      </c>
      <c r="Y33">
        <f t="shared" si="18"/>
        <v>-0.51797842486779666</v>
      </c>
      <c r="Z33">
        <f t="shared" si="18"/>
        <v>-0.43844136731297645</v>
      </c>
      <c r="AA33">
        <f t="shared" si="18"/>
        <v>-0.36910281287004193</v>
      </c>
      <c r="AB33">
        <f t="shared" si="18"/>
        <v>-0.30930411333176278</v>
      </c>
      <c r="AC33">
        <f t="shared" si="18"/>
        <v>-0.25817843085847925</v>
      </c>
      <c r="AD33">
        <f t="shared" si="18"/>
        <v>-0.2147773474629428</v>
      </c>
      <c r="AE33">
        <f t="shared" si="18"/>
        <v>-0.17815057364141959</v>
      </c>
      <c r="AF33">
        <f t="shared" si="18"/>
        <v>-0.14739374029983335</v>
      </c>
      <c r="AG33">
        <f t="shared" si="18"/>
        <v>-0.12167474157512667</v>
      </c>
      <c r="AH33">
        <f t="shared" si="18"/>
        <v>-0.10024593322437735</v>
      </c>
      <c r="AI33">
        <f>(AH33*sa-AH$7*AH20*AH$10)/oa-AH$7*AH$10*flt3_*sa/oa^2</f>
        <v>-0.45545865839712463</v>
      </c>
    </row>
    <row r="34" spans="1:35">
      <c r="A34" t="s">
        <v>27</v>
      </c>
      <c r="B34" s="1">
        <f>SUMPRODUCT(lz,wa,ma)</f>
        <v>19.059205544913624</v>
      </c>
      <c r="G34" t="s">
        <v>57</v>
      </c>
      <c r="J34" s="8"/>
    </row>
    <row r="35" spans="1:35">
      <c r="A35" t="s">
        <v>33</v>
      </c>
      <c r="B35" s="1">
        <f>SUMPRODUCT(lz,ta1_)</f>
        <v>1.0760110083049395</v>
      </c>
      <c r="C35" s="10"/>
      <c r="G35" s="1">
        <f>SUM(dqa11_)</f>
        <v>496.69567896212993</v>
      </c>
      <c r="H35" s="1">
        <f>SUM(dqa12_)</f>
        <v>509.30090945514411</v>
      </c>
      <c r="I35" s="11">
        <f>SUM(dqa13_)</f>
        <v>500.27770448693758</v>
      </c>
      <c r="J35" s="8" t="s">
        <v>62</v>
      </c>
      <c r="K35">
        <f>flt1_*qa1_+lz*wa*flt1_^2/za*(sa-oa/za)</f>
        <v>5.1338277760064442E-37</v>
      </c>
      <c r="L35">
        <f t="shared" ref="L35:AI35" si="19">flt1_*qa1_+lz*wa*flt1_^2/za*(sa-oa/za)</f>
        <v>2.9471562757715696E-27</v>
      </c>
      <c r="M35">
        <f t="shared" si="19"/>
        <v>2.9129940909261241E-19</v>
      </c>
      <c r="N35">
        <f t="shared" si="19"/>
        <v>1.5685179923788459E-12</v>
      </c>
      <c r="O35">
        <f t="shared" si="19"/>
        <v>3.594796606620333E-7</v>
      </c>
      <c r="P35">
        <f t="shared" si="19"/>
        <v>4.1031176792313752E-4</v>
      </c>
      <c r="Q35">
        <f t="shared" si="19"/>
        <v>7.7184040955090391E-2</v>
      </c>
      <c r="R35">
        <f t="shared" si="19"/>
        <v>4.0962671531060924</v>
      </c>
      <c r="S35">
        <f t="shared" si="19"/>
        <v>16.211111151167902</v>
      </c>
      <c r="T35">
        <f t="shared" si="19"/>
        <v>21.169060746347355</v>
      </c>
      <c r="U35">
        <f t="shared" si="19"/>
        <v>23.598431184648589</v>
      </c>
      <c r="V35">
        <f t="shared" si="19"/>
        <v>25.464885890505567</v>
      </c>
      <c r="W35">
        <f t="shared" si="19"/>
        <v>27.009679246958008</v>
      </c>
      <c r="X35">
        <f t="shared" si="19"/>
        <v>28.288551451321926</v>
      </c>
      <c r="Y35">
        <f t="shared" si="19"/>
        <v>29.340447871326116</v>
      </c>
      <c r="Z35">
        <f t="shared" si="19"/>
        <v>30.20074940496794</v>
      </c>
      <c r="AA35">
        <f t="shared" si="19"/>
        <v>30.901248752085149</v>
      </c>
      <c r="AB35">
        <f t="shared" si="19"/>
        <v>31.469714445631684</v>
      </c>
      <c r="AC35">
        <f t="shared" si="19"/>
        <v>31.929874784883072</v>
      </c>
      <c r="AD35">
        <f t="shared" si="19"/>
        <v>32.301683623495109</v>
      </c>
      <c r="AE35">
        <f t="shared" si="19"/>
        <v>32.601723129397016</v>
      </c>
      <c r="AF35">
        <f t="shared" si="19"/>
        <v>32.843651434970383</v>
      </c>
      <c r="AG35">
        <f t="shared" si="19"/>
        <v>33.038642493389595</v>
      </c>
      <c r="AH35">
        <f t="shared" si="19"/>
        <v>33.195790780755139</v>
      </c>
      <c r="AI35">
        <f t="shared" si="19"/>
        <v>32.956570704969074</v>
      </c>
    </row>
    <row r="36" spans="1:35">
      <c r="A36" t="s">
        <v>34</v>
      </c>
      <c r="B36" s="1">
        <f>SUMPRODUCT(lz,ta2_)</f>
        <v>1.0509876075857978</v>
      </c>
      <c r="C36" s="10"/>
      <c r="G36" s="1">
        <f>SUM(dqa21_)</f>
        <v>509.30090945514411</v>
      </c>
      <c r="H36" s="1">
        <f>SUM(dqa22_)</f>
        <v>10.938152888850977</v>
      </c>
      <c r="I36" s="11">
        <f>SUM(dqa23_)</f>
        <v>504.62782588588317</v>
      </c>
      <c r="J36" s="8" t="s">
        <v>63</v>
      </c>
      <c r="K36">
        <f t="shared" ref="K36:AI36" si="20">flt2_*qa2_+lz*wa*flt2_^2/za*(sa-oa/za)</f>
        <v>1.0280491225527625E-52</v>
      </c>
      <c r="L36">
        <f t="shared" si="20"/>
        <v>8.2429065494008084E-35</v>
      </c>
      <c r="M36">
        <f t="shared" si="20"/>
        <v>2.5569299495502825E-17</v>
      </c>
      <c r="N36">
        <f t="shared" si="20"/>
        <v>1.3307847285387764</v>
      </c>
      <c r="O36">
        <f t="shared" si="20"/>
        <v>3.9129788119753153</v>
      </c>
      <c r="P36">
        <f t="shared" si="20"/>
        <v>2.5439696205816693</v>
      </c>
      <c r="Q36">
        <f t="shared" si="20"/>
        <v>1.4952913176337459</v>
      </c>
      <c r="R36">
        <f t="shared" si="20"/>
        <v>0.81350454764204494</v>
      </c>
      <c r="S36">
        <f t="shared" si="20"/>
        <v>0.4230084983913453</v>
      </c>
      <c r="T36">
        <f t="shared" si="20"/>
        <v>0.21480562105165393</v>
      </c>
      <c r="U36">
        <f t="shared" si="20"/>
        <v>0.10627688424157915</v>
      </c>
      <c r="V36">
        <f t="shared" si="20"/>
        <v>5.1479678346915247E-2</v>
      </c>
      <c r="W36">
        <f t="shared" si="20"/>
        <v>2.4533574723230329E-2</v>
      </c>
      <c r="X36">
        <f t="shared" si="20"/>
        <v>1.1546068129149897E-2</v>
      </c>
      <c r="Y36">
        <f t="shared" si="20"/>
        <v>5.3811543989225642E-3</v>
      </c>
      <c r="Z36">
        <f t="shared" si="20"/>
        <v>2.488927386894743E-3</v>
      </c>
      <c r="AA36">
        <f t="shared" si="20"/>
        <v>1.1443436838343636E-3</v>
      </c>
      <c r="AB36">
        <f t="shared" si="20"/>
        <v>5.2367188748720175E-4</v>
      </c>
      <c r="AC36">
        <f t="shared" si="20"/>
        <v>2.3875348783717468E-4</v>
      </c>
      <c r="AD36">
        <f t="shared" si="20"/>
        <v>1.0853348396101791E-4</v>
      </c>
      <c r="AE36">
        <f t="shared" si="20"/>
        <v>4.9222677229467577E-5</v>
      </c>
      <c r="AF36">
        <f t="shared" si="20"/>
        <v>2.2282412650124304E-5</v>
      </c>
      <c r="AG36">
        <f t="shared" si="20"/>
        <v>1.0072078033813113E-5</v>
      </c>
      <c r="AH36">
        <f t="shared" si="20"/>
        <v>4.5474299737864761E-6</v>
      </c>
      <c r="AI36">
        <f t="shared" si="20"/>
        <v>2.0286687244783278E-6</v>
      </c>
    </row>
    <row r="37" spans="1:35">
      <c r="A37" t="s">
        <v>35</v>
      </c>
      <c r="B37" s="1">
        <f>SUMPRODUCT(lz,ta3_)</f>
        <v>2.9413091183279834</v>
      </c>
      <c r="C37" s="10"/>
      <c r="G37" s="1">
        <f>SUM(dqa31_)</f>
        <v>500.27770448693758</v>
      </c>
      <c r="H37" s="1">
        <f>SUM(dqa32_)</f>
        <v>504.62782588588317</v>
      </c>
      <c r="I37" s="1">
        <f>SUM(dqa33_)</f>
        <v>199.98687079189745</v>
      </c>
      <c r="J37" s="8" t="s">
        <v>64</v>
      </c>
      <c r="K37">
        <f t="shared" ref="K37:AI37" si="21">flt3_*qa3_+lz*wa*flt3_^2/za*(sa-oa/za)</f>
        <v>6.6546640901940832E-6</v>
      </c>
      <c r="L37">
        <f t="shared" si="21"/>
        <v>5.8641091260873048E-3</v>
      </c>
      <c r="M37">
        <f t="shared" si="21"/>
        <v>0.67608691580794389</v>
      </c>
      <c r="N37">
        <f t="shared" si="21"/>
        <v>4.1135388094311924</v>
      </c>
      <c r="O37">
        <f t="shared" si="21"/>
        <v>7.0347927872234735</v>
      </c>
      <c r="P37">
        <f t="shared" si="21"/>
        <v>9.3242621916487494</v>
      </c>
      <c r="Q37">
        <f t="shared" si="21"/>
        <v>11.047788269845519</v>
      </c>
      <c r="R37">
        <f t="shared" si="21"/>
        <v>12.104639206125357</v>
      </c>
      <c r="S37">
        <f t="shared" si="21"/>
        <v>12.675061212034985</v>
      </c>
      <c r="T37">
        <f t="shared" si="21"/>
        <v>12.961432300863828</v>
      </c>
      <c r="U37">
        <f t="shared" si="21"/>
        <v>12.913748523550105</v>
      </c>
      <c r="V37">
        <f t="shared" si="21"/>
        <v>12.596661962784776</v>
      </c>
      <c r="W37">
        <f t="shared" si="21"/>
        <v>12.088895419125709</v>
      </c>
      <c r="X37">
        <f t="shared" si="21"/>
        <v>11.456871469182351</v>
      </c>
      <c r="Y37">
        <f t="shared" si="21"/>
        <v>10.752600630846509</v>
      </c>
      <c r="Z37">
        <f t="shared" si="21"/>
        <v>10.015126202353892</v>
      </c>
      <c r="AA37">
        <f t="shared" si="21"/>
        <v>9.2727129121006282</v>
      </c>
      <c r="AB37">
        <f t="shared" si="21"/>
        <v>8.5450721606594975</v>
      </c>
      <c r="AC37">
        <f t="shared" si="21"/>
        <v>7.8453502387972982</v>
      </c>
      <c r="AD37">
        <f t="shared" si="21"/>
        <v>7.1817865508164394</v>
      </c>
      <c r="AE37">
        <f t="shared" si="21"/>
        <v>6.5590375591049632</v>
      </c>
      <c r="AF37">
        <f t="shared" si="21"/>
        <v>5.9792021476727557</v>
      </c>
      <c r="AG37">
        <f t="shared" si="21"/>
        <v>5.4425978146852065</v>
      </c>
      <c r="AH37">
        <f t="shared" si="21"/>
        <v>4.9483375638740847</v>
      </c>
      <c r="AI37">
        <f t="shared" si="21"/>
        <v>4.4453971795720797</v>
      </c>
    </row>
    <row r="38" spans="1:35">
      <c r="A38" s="1" t="s">
        <v>36</v>
      </c>
      <c r="B38" s="1">
        <f>SUMPRODUCT(lz,qa1_)</f>
        <v>30.576325631511292</v>
      </c>
      <c r="G38" t="s">
        <v>69</v>
      </c>
      <c r="J38" s="8" t="s">
        <v>60</v>
      </c>
      <c r="K38">
        <f t="shared" ref="K38:AI38" si="22">flt1_*qa1_+lz*wa*flt2_*flt1_/za*(sa-oa/za)</f>
        <v>1.0017006743131573E-36</v>
      </c>
      <c r="L38">
        <f t="shared" si="22"/>
        <v>5.0754547389390921E-27</v>
      </c>
      <c r="M38">
        <f t="shared" si="22"/>
        <v>-1.0773319507201699E-18</v>
      </c>
      <c r="N38">
        <f t="shared" si="22"/>
        <v>-6.2842997010509007E-7</v>
      </c>
      <c r="O38">
        <f t="shared" si="22"/>
        <v>-3.8543145753513423E-4</v>
      </c>
      <c r="P38">
        <f t="shared" si="22"/>
        <v>-7.4300705220356296E-3</v>
      </c>
      <c r="Q38">
        <f t="shared" si="22"/>
        <v>2.6822695109442962E-2</v>
      </c>
      <c r="R38">
        <f t="shared" si="22"/>
        <v>4.4405887603388843</v>
      </c>
      <c r="S38">
        <f t="shared" si="22"/>
        <v>17.816801330452652</v>
      </c>
      <c r="T38">
        <f t="shared" si="22"/>
        <v>22.898713978574992</v>
      </c>
      <c r="U38">
        <f t="shared" si="22"/>
        <v>25.145993003826316</v>
      </c>
      <c r="V38">
        <f t="shared" si="22"/>
        <v>26.796869253833993</v>
      </c>
      <c r="W38">
        <f t="shared" si="22"/>
        <v>28.133623751053872</v>
      </c>
      <c r="X38">
        <f t="shared" si="22"/>
        <v>29.224100858673573</v>
      </c>
      <c r="Y38">
        <f t="shared" si="22"/>
        <v>30.111515750507625</v>
      </c>
      <c r="Z38">
        <f t="shared" si="22"/>
        <v>30.831653717672641</v>
      </c>
      <c r="AA38">
        <f t="shared" si="22"/>
        <v>31.41470671108608</v>
      </c>
      <c r="AB38">
        <f t="shared" si="22"/>
        <v>31.885934353540922</v>
      </c>
      <c r="AC38">
        <f t="shared" si="22"/>
        <v>32.266283270476272</v>
      </c>
      <c r="AD38">
        <f t="shared" si="22"/>
        <v>32.572998357111942</v>
      </c>
      <c r="AE38">
        <f t="shared" si="22"/>
        <v>32.82019483981918</v>
      </c>
      <c r="AF38">
        <f t="shared" si="22"/>
        <v>33.019372502336957</v>
      </c>
      <c r="AG38">
        <f t="shared" si="22"/>
        <v>33.17986520000661</v>
      </c>
      <c r="AH38">
        <f t="shared" si="22"/>
        <v>33.309225973767802</v>
      </c>
      <c r="AI38">
        <f t="shared" si="22"/>
        <v>33.413461277363844</v>
      </c>
    </row>
    <row r="39" spans="1:35">
      <c r="A39" s="1" t="s">
        <v>37</v>
      </c>
      <c r="B39" s="1">
        <f>SUMPRODUCT(lz,qa2_)</f>
        <v>12.924718334464302</v>
      </c>
      <c r="G39" s="1">
        <f>re*phi_q1+f1_*phi_q1*$H31+f1_*re*G35</f>
        <v>106.03285719838678</v>
      </c>
      <c r="H39" s="1">
        <f>re*phi_q1+f1_*phi_q1*$H32+f1_*re*H35</f>
        <v>111.31171688933661</v>
      </c>
      <c r="I39" s="1">
        <f>re*phi_q1+f1_*phi_q1*$H33+f1_*re*I35</f>
        <v>104.01484153659203</v>
      </c>
      <c r="J39" s="8" t="s">
        <v>66</v>
      </c>
      <c r="K39">
        <f t="shared" ref="K39:AI39" si="23">flt1_*qa1_+lz*wa*flt3_*flt1_/za*(sa-oa/za)</f>
        <v>-1.758106052240877E-21</v>
      </c>
      <c r="L39">
        <f t="shared" si="23"/>
        <v>-3.0026492781114584E-15</v>
      </c>
      <c r="M39">
        <f t="shared" si="23"/>
        <v>-2.4914285735134245E-10</v>
      </c>
      <c r="N39">
        <f t="shared" si="23"/>
        <v>-1.1048706946341158E-6</v>
      </c>
      <c r="O39">
        <f t="shared" si="23"/>
        <v>-5.1695829031705629E-4</v>
      </c>
      <c r="P39">
        <f t="shared" si="23"/>
        <v>-1.4692186984368229E-2</v>
      </c>
      <c r="Q39">
        <f t="shared" si="23"/>
        <v>-8.5144609074525049E-2</v>
      </c>
      <c r="R39">
        <f t="shared" si="23"/>
        <v>3.6496691537724524</v>
      </c>
      <c r="S39">
        <f t="shared" si="23"/>
        <v>16.432801712913658</v>
      </c>
      <c r="T39">
        <f t="shared" si="23"/>
        <v>21.587430972155349</v>
      </c>
      <c r="U39">
        <f t="shared" si="23"/>
        <v>24.030157681344406</v>
      </c>
      <c r="V39">
        <f t="shared" si="23"/>
        <v>25.878654207953296</v>
      </c>
      <c r="W39">
        <f t="shared" si="23"/>
        <v>27.393252217899757</v>
      </c>
      <c r="X39">
        <f t="shared" si="23"/>
        <v>28.635734726842934</v>
      </c>
      <c r="Y39">
        <f t="shared" si="23"/>
        <v>29.648909097812496</v>
      </c>
      <c r="Z39">
        <f t="shared" si="23"/>
        <v>30.470790592475009</v>
      </c>
      <c r="AA39">
        <f t="shared" si="23"/>
        <v>31.134860362580966</v>
      </c>
      <c r="AB39">
        <f t="shared" si="23"/>
        <v>31.669863420489367</v>
      </c>
      <c r="AC39">
        <f t="shared" si="23"/>
        <v>32.099995137739384</v>
      </c>
      <c r="AD39">
        <f t="shared" si="23"/>
        <v>32.445330297093115</v>
      </c>
      <c r="AE39">
        <f t="shared" si="23"/>
        <v>32.722350074045899</v>
      </c>
      <c r="AF39">
        <f t="shared" si="23"/>
        <v>32.944479989538799</v>
      </c>
      <c r="AG39">
        <f t="shared" si="23"/>
        <v>33.122592822826142</v>
      </c>
      <c r="AH39">
        <f t="shared" si="23"/>
        <v>33.265455605056296</v>
      </c>
      <c r="AI39">
        <f t="shared" si="23"/>
        <v>33.245731273867314</v>
      </c>
    </row>
    <row r="40" spans="1:35">
      <c r="A40" s="1" t="s">
        <v>38</v>
      </c>
      <c r="B40" s="1">
        <f>SUMPRODUCT(lz,qa3_)</f>
        <v>43.185619986929431</v>
      </c>
      <c r="G40" s="1">
        <f>re*phi_q1+f1_*phi_q1*$H32+f1_*re*G36</f>
        <v>111.31171688933661</v>
      </c>
      <c r="H40" s="1">
        <f>re*phi_q2+f2_*phi_q2*$H32+f2_*re*H36</f>
        <v>23.54591926471338</v>
      </c>
      <c r="I40" s="1">
        <f>re*phi_q3+f3_*phi_q3*$H33+f3_*re*I36</f>
        <v>94.653580531552208</v>
      </c>
      <c r="J40" s="8" t="s">
        <v>65</v>
      </c>
      <c r="K40">
        <f t="shared" ref="K40:AI40" si="24">flt1_*qa1_+lz*wa*flt1_*flt2_/za*(sa-oa/za)</f>
        <v>1.0017006743131573E-36</v>
      </c>
      <c r="L40">
        <f t="shared" si="24"/>
        <v>5.0754547389390921E-27</v>
      </c>
      <c r="M40">
        <f t="shared" si="24"/>
        <v>-1.0773319507201699E-18</v>
      </c>
      <c r="N40">
        <f t="shared" si="24"/>
        <v>-6.2842997010508997E-7</v>
      </c>
      <c r="O40">
        <f t="shared" si="24"/>
        <v>-3.8543145753513423E-4</v>
      </c>
      <c r="P40">
        <f t="shared" si="24"/>
        <v>-7.4300705220356296E-3</v>
      </c>
      <c r="Q40">
        <f t="shared" si="24"/>
        <v>2.6822695109442962E-2</v>
      </c>
      <c r="R40">
        <f t="shared" si="24"/>
        <v>4.4405887603388843</v>
      </c>
      <c r="S40">
        <f t="shared" si="24"/>
        <v>17.816801330452652</v>
      </c>
      <c r="T40">
        <f t="shared" si="24"/>
        <v>22.898713978574992</v>
      </c>
      <c r="U40">
        <f t="shared" si="24"/>
        <v>25.145993003826316</v>
      </c>
      <c r="V40">
        <f t="shared" si="24"/>
        <v>26.796869253833993</v>
      </c>
      <c r="W40">
        <f t="shared" si="24"/>
        <v>28.133623751053872</v>
      </c>
      <c r="X40">
        <f t="shared" si="24"/>
        <v>29.224100858673573</v>
      </c>
      <c r="Y40">
        <f t="shared" si="24"/>
        <v>30.111515750507625</v>
      </c>
      <c r="Z40">
        <f t="shared" si="24"/>
        <v>30.831653717672641</v>
      </c>
      <c r="AA40">
        <f t="shared" si="24"/>
        <v>31.41470671108608</v>
      </c>
      <c r="AB40">
        <f t="shared" si="24"/>
        <v>31.885934353540922</v>
      </c>
      <c r="AC40">
        <f t="shared" si="24"/>
        <v>32.266283270476272</v>
      </c>
      <c r="AD40">
        <f t="shared" si="24"/>
        <v>32.572998357111942</v>
      </c>
      <c r="AE40">
        <f t="shared" si="24"/>
        <v>32.82019483981918</v>
      </c>
      <c r="AF40">
        <f t="shared" si="24"/>
        <v>33.019372502336957</v>
      </c>
      <c r="AG40">
        <f t="shared" si="24"/>
        <v>33.17986520000661</v>
      </c>
      <c r="AH40">
        <f t="shared" si="24"/>
        <v>33.309225973767802</v>
      </c>
      <c r="AI40">
        <f t="shared" si="24"/>
        <v>33.413461277363844</v>
      </c>
    </row>
    <row r="41" spans="1:35">
      <c r="G41" s="1">
        <f>re*phi_q1+f1_*phi_q1*$H33+f1_*re*G37</f>
        <v>104.01484153659203</v>
      </c>
      <c r="H41" s="1">
        <f>re*phi_q3+f3_*phi_q3*$H33+f3_*re*H37</f>
        <v>94.653580531552208</v>
      </c>
      <c r="I41" s="1">
        <f>re*phi_q3+f1_*phi_q3*$H33+f3_*re*I37</f>
        <v>74.029827580357733</v>
      </c>
      <c r="J41" s="8" t="s">
        <v>67</v>
      </c>
      <c r="K41">
        <f t="shared" ref="K41:AI41" si="25">flt1_*qa1_+lz*wa*flt3_*flt2_/za*(sa-oa/za)</f>
        <v>-2.4878909321728745E-29</v>
      </c>
      <c r="L41">
        <f t="shared" si="25"/>
        <v>-5.0216126400920869E-19</v>
      </c>
      <c r="M41">
        <f t="shared" si="25"/>
        <v>-2.3341999471416915E-9</v>
      </c>
      <c r="N41">
        <f t="shared" si="25"/>
        <v>-1.0177040226024547</v>
      </c>
      <c r="O41">
        <f t="shared" si="25"/>
        <v>-1.7071514337080271</v>
      </c>
      <c r="P41">
        <f t="shared" si="25"/>
        <v>-1.1966105797264956</v>
      </c>
      <c r="Q41">
        <f t="shared" si="25"/>
        <v>-0.6876642972759307</v>
      </c>
      <c r="R41">
        <f t="shared" si="25"/>
        <v>4.2415660532289809</v>
      </c>
      <c r="S41">
        <f t="shared" si="25"/>
        <v>17.852612240557324</v>
      </c>
      <c r="T41">
        <f t="shared" si="25"/>
        <v>22.940857691583339</v>
      </c>
      <c r="U41">
        <f t="shared" si="25"/>
        <v>25.174965542047076</v>
      </c>
      <c r="V41">
        <f t="shared" si="25"/>
        <v>26.81547316591698</v>
      </c>
      <c r="W41">
        <f t="shared" si="25"/>
        <v>28.145184040267498</v>
      </c>
      <c r="X41">
        <f t="shared" si="25"/>
        <v>29.231114935191531</v>
      </c>
      <c r="Y41">
        <f t="shared" si="25"/>
        <v>30.115693139694464</v>
      </c>
      <c r="Z41">
        <f t="shared" si="25"/>
        <v>30.834105191508801</v>
      </c>
      <c r="AA41">
        <f t="shared" si="25"/>
        <v>31.416128334759232</v>
      </c>
      <c r="AB41">
        <f t="shared" si="25"/>
        <v>31.886750816711228</v>
      </c>
      <c r="AC41">
        <f t="shared" si="25"/>
        <v>32.266748462789053</v>
      </c>
      <c r="AD41">
        <f t="shared" si="25"/>
        <v>32.573261665604107</v>
      </c>
      <c r="AE41">
        <f t="shared" si="25"/>
        <v>32.820343059770401</v>
      </c>
      <c r="AF41">
        <f t="shared" si="25"/>
        <v>33.019455552201904</v>
      </c>
      <c r="AG41">
        <f t="shared" si="25"/>
        <v>33.179911552259611</v>
      </c>
      <c r="AH41">
        <f t="shared" si="25"/>
        <v>33.309251758050067</v>
      </c>
      <c r="AI41">
        <f t="shared" si="25"/>
        <v>33.41353301938868</v>
      </c>
    </row>
    <row r="42" spans="1:35">
      <c r="A42" s="15" t="s">
        <v>39</v>
      </c>
      <c r="B42" s="16"/>
      <c r="C42" s="16"/>
      <c r="J42" s="8" t="s">
        <v>68</v>
      </c>
      <c r="K42">
        <f t="shared" ref="K42:AI42" si="26">flt1_*qa1_+lz*wa*flt1_*flt3_/za*(sa-oa/za)</f>
        <v>-1.758106052240877E-21</v>
      </c>
      <c r="L42">
        <f t="shared" si="26"/>
        <v>-3.0026492781114584E-15</v>
      </c>
      <c r="M42">
        <f t="shared" si="26"/>
        <v>-2.4914285735134245E-10</v>
      </c>
      <c r="N42">
        <f t="shared" si="26"/>
        <v>-1.1048706946341158E-6</v>
      </c>
      <c r="O42">
        <f t="shared" si="26"/>
        <v>-5.1695829031705629E-4</v>
      </c>
      <c r="P42">
        <f t="shared" si="26"/>
        <v>-1.4692186984368229E-2</v>
      </c>
      <c r="Q42">
        <f t="shared" si="26"/>
        <v>-8.5144609074525049E-2</v>
      </c>
      <c r="R42">
        <f t="shared" si="26"/>
        <v>3.6496691537724524</v>
      </c>
      <c r="S42">
        <f t="shared" si="26"/>
        <v>16.432801712913658</v>
      </c>
      <c r="T42">
        <f t="shared" si="26"/>
        <v>21.587430972155349</v>
      </c>
      <c r="U42">
        <f t="shared" si="26"/>
        <v>24.030157681344406</v>
      </c>
      <c r="V42">
        <f t="shared" si="26"/>
        <v>25.8786542079533</v>
      </c>
      <c r="W42">
        <f t="shared" si="26"/>
        <v>27.393252217899757</v>
      </c>
      <c r="X42">
        <f t="shared" si="26"/>
        <v>28.635734726842934</v>
      </c>
      <c r="Y42">
        <f t="shared" si="26"/>
        <v>29.648909097812496</v>
      </c>
      <c r="Z42">
        <f t="shared" si="26"/>
        <v>30.470790592475009</v>
      </c>
      <c r="AA42">
        <f t="shared" si="26"/>
        <v>31.134860362580966</v>
      </c>
      <c r="AB42">
        <f t="shared" si="26"/>
        <v>31.669863420489367</v>
      </c>
      <c r="AC42">
        <f t="shared" si="26"/>
        <v>32.099995137739384</v>
      </c>
      <c r="AD42">
        <f t="shared" si="26"/>
        <v>32.445330297093115</v>
      </c>
      <c r="AE42">
        <f t="shared" si="26"/>
        <v>32.722350074045899</v>
      </c>
      <c r="AF42">
        <f t="shared" si="26"/>
        <v>32.944479989538799</v>
      </c>
      <c r="AG42">
        <f t="shared" si="26"/>
        <v>33.122592822826142</v>
      </c>
      <c r="AH42">
        <f t="shared" si="26"/>
        <v>33.265455605056296</v>
      </c>
      <c r="AI42">
        <f t="shared" si="26"/>
        <v>33.245731273867314</v>
      </c>
    </row>
    <row r="43" spans="1:35">
      <c r="A43" s="1" t="s">
        <v>40</v>
      </c>
      <c r="B43" s="1">
        <f>phif/phie</f>
        <v>0.39853353853408335</v>
      </c>
      <c r="J43" s="8" t="s">
        <v>61</v>
      </c>
      <c r="K43">
        <f t="shared" ref="K43:AI43" si="27">flt1_*qa1_+lz*wa*flt2_*flt3_/za*(sa-oa/za)</f>
        <v>-2.4878909321728745E-29</v>
      </c>
      <c r="L43">
        <f t="shared" si="27"/>
        <v>-5.021612640092086E-19</v>
      </c>
      <c r="M43">
        <f t="shared" si="27"/>
        <v>-2.3341999471416915E-9</v>
      </c>
      <c r="N43">
        <f t="shared" si="27"/>
        <v>-1.0177040226024547</v>
      </c>
      <c r="O43">
        <f t="shared" si="27"/>
        <v>-1.7071514337080271</v>
      </c>
      <c r="P43">
        <f t="shared" si="27"/>
        <v>-1.1966105797264956</v>
      </c>
      <c r="Q43">
        <f t="shared" si="27"/>
        <v>-0.6876642972759307</v>
      </c>
      <c r="R43">
        <f t="shared" si="27"/>
        <v>4.2415660532289809</v>
      </c>
      <c r="S43">
        <f t="shared" si="27"/>
        <v>17.852612240557324</v>
      </c>
      <c r="T43">
        <f t="shared" si="27"/>
        <v>22.940857691583339</v>
      </c>
      <c r="U43">
        <f t="shared" si="27"/>
        <v>25.174965542047076</v>
      </c>
      <c r="V43">
        <f t="shared" si="27"/>
        <v>26.81547316591698</v>
      </c>
      <c r="W43">
        <f t="shared" si="27"/>
        <v>28.145184040267498</v>
      </c>
      <c r="X43">
        <f t="shared" si="27"/>
        <v>29.231114935191531</v>
      </c>
      <c r="Y43">
        <f t="shared" si="27"/>
        <v>30.115693139694464</v>
      </c>
      <c r="Z43">
        <f t="shared" si="27"/>
        <v>30.834105191508801</v>
      </c>
      <c r="AA43">
        <f t="shared" si="27"/>
        <v>31.416128334759232</v>
      </c>
      <c r="AB43">
        <f t="shared" si="27"/>
        <v>31.886750816711228</v>
      </c>
      <c r="AC43">
        <f t="shared" si="27"/>
        <v>32.266748462789053</v>
      </c>
      <c r="AD43">
        <f t="shared" si="27"/>
        <v>32.573261665604107</v>
      </c>
      <c r="AE43">
        <f t="shared" si="27"/>
        <v>32.820343059770401</v>
      </c>
      <c r="AF43">
        <f t="shared" si="27"/>
        <v>33.019455552201904</v>
      </c>
      <c r="AG43">
        <f t="shared" si="27"/>
        <v>33.179911552259611</v>
      </c>
      <c r="AH43">
        <f t="shared" si="27"/>
        <v>33.309251758050067</v>
      </c>
      <c r="AI43">
        <f t="shared" si="27"/>
        <v>33.41353301938868</v>
      </c>
    </row>
    <row r="44" spans="1:35">
      <c r="A44" s="1" t="s">
        <v>41</v>
      </c>
      <c r="B44" s="11">
        <f>MAX(0,Ro*(reck-1/spr)/(reck-1))</f>
        <v>1.8041400964987986</v>
      </c>
    </row>
    <row r="45" spans="1:35">
      <c r="A45" s="1" t="s">
        <v>43</v>
      </c>
      <c r="B45" s="1">
        <f>f1_*re*phi_q1</f>
        <v>3.5180043689823042</v>
      </c>
      <c r="C45" s="20">
        <f>ye_1/SUM(ye_1,ye_2,ye_3)</f>
        <v>0.51295924716123387</v>
      </c>
      <c r="J45" s="2" t="s">
        <v>87</v>
      </c>
    </row>
    <row r="46" spans="1:35" ht="19" thickBot="1">
      <c r="A46" s="1" t="s">
        <v>44</v>
      </c>
      <c r="B46" s="1">
        <f>f2_*re*phi_q2</f>
        <v>1.5224768529294241</v>
      </c>
      <c r="C46" s="20">
        <f>ye_2/SUM(ye_1,ye_2,ye_3)</f>
        <v>0.22199193019336763</v>
      </c>
      <c r="G46" s="32" t="s">
        <v>94</v>
      </c>
      <c r="H46" s="32"/>
      <c r="I46" s="32"/>
      <c r="J46" s="8" t="s">
        <v>75</v>
      </c>
      <c r="K46">
        <f t="shared" ref="K46:AI46" si="28">lz*qa1_</f>
        <v>4.4204038126716157E-19</v>
      </c>
      <c r="L46">
        <f t="shared" si="28"/>
        <v>7.0045950124548249E-14</v>
      </c>
      <c r="M46">
        <f t="shared" si="28"/>
        <v>9.2870310187192799E-10</v>
      </c>
      <c r="N46">
        <f t="shared" si="28"/>
        <v>2.3610177198139173E-6</v>
      </c>
      <c r="O46">
        <f t="shared" si="28"/>
        <v>1.0838521049548362E-3</v>
      </c>
      <c r="P46">
        <f t="shared" si="28"/>
        <v>3.3178385200129716E-2</v>
      </c>
      <c r="Q46">
        <f t="shared" si="28"/>
        <v>0.40566309675245094</v>
      </c>
      <c r="R46">
        <f t="shared" si="28"/>
        <v>2.578855556104624</v>
      </c>
      <c r="S46">
        <f t="shared" si="28"/>
        <v>4.3154712505125206</v>
      </c>
      <c r="T46">
        <f t="shared" si="28"/>
        <v>4.0324007881890873</v>
      </c>
      <c r="U46">
        <f t="shared" si="28"/>
        <v>3.4548953527645203</v>
      </c>
      <c r="V46">
        <f t="shared" si="28"/>
        <v>2.9021103620064466</v>
      </c>
      <c r="W46">
        <f t="shared" si="28"/>
        <v>2.410624720309849</v>
      </c>
      <c r="X46">
        <f t="shared" si="28"/>
        <v>1.9857650719381577</v>
      </c>
      <c r="Y46">
        <f t="shared" si="28"/>
        <v>1.6253054041583075</v>
      </c>
      <c r="Z46">
        <f t="shared" si="28"/>
        <v>1.3236762134508782</v>
      </c>
      <c r="AA46">
        <f t="shared" si="28"/>
        <v>1.0738912877000817</v>
      </c>
      <c r="AB46">
        <f t="shared" si="28"/>
        <v>0.86867368147379087</v>
      </c>
      <c r="AC46">
        <f t="shared" si="28"/>
        <v>0.70109095423180701</v>
      </c>
      <c r="AD46">
        <f t="shared" si="28"/>
        <v>0.56487505857298603</v>
      </c>
      <c r="AE46">
        <f t="shared" si="28"/>
        <v>0.4545471253853019</v>
      </c>
      <c r="AF46">
        <f t="shared" si="28"/>
        <v>0.3654280740180168</v>
      </c>
      <c r="AG46">
        <f t="shared" si="28"/>
        <v>0.29358752493977142</v>
      </c>
      <c r="AH46">
        <f t="shared" si="28"/>
        <v>0.23576373938041223</v>
      </c>
      <c r="AI46">
        <f t="shared" si="28"/>
        <v>0.94943577037070837</v>
      </c>
    </row>
    <row r="47" spans="1:35" ht="19" thickTop="1">
      <c r="A47" s="1" t="s">
        <v>45</v>
      </c>
      <c r="B47" s="1">
        <f>f3_*re*phi_q3</f>
        <v>1.8177719209086445</v>
      </c>
      <c r="C47" s="20">
        <f>ye_3/SUM(ye_1,ye_2,ye_3)</f>
        <v>0.26504882264539864</v>
      </c>
      <c r="F47" t="s">
        <v>84</v>
      </c>
      <c r="G47" s="31">
        <f>G39/G53</f>
        <v>0.99999999999999989</v>
      </c>
      <c r="H47" s="31">
        <f>H53/H39</f>
        <v>0.4488871527320703</v>
      </c>
      <c r="I47" s="31">
        <f>I53/I39</f>
        <v>0.85178166858929238</v>
      </c>
      <c r="J47" s="8" t="s">
        <v>76</v>
      </c>
      <c r="K47">
        <f t="shared" ref="K47:AI47" si="29">lz*qa2_</f>
        <v>6.2553012606167289E-27</v>
      </c>
      <c r="L47">
        <f t="shared" si="29"/>
        <v>1.1714442797286292E-17</v>
      </c>
      <c r="M47">
        <f t="shared" si="29"/>
        <v>8.7009467211322222E-9</v>
      </c>
      <c r="N47">
        <f t="shared" si="29"/>
        <v>2.174745287116695</v>
      </c>
      <c r="O47">
        <f t="shared" si="29"/>
        <v>3.5759102655302639</v>
      </c>
      <c r="P47">
        <f t="shared" si="29"/>
        <v>2.6124874866078569</v>
      </c>
      <c r="Q47">
        <f t="shared" si="29"/>
        <v>1.7855197210567362</v>
      </c>
      <c r="R47">
        <f t="shared" si="29"/>
        <v>1.1492456634090789</v>
      </c>
      <c r="S47">
        <f t="shared" si="29"/>
        <v>0.69710208587340272</v>
      </c>
      <c r="T47">
        <f t="shared" si="29"/>
        <v>0.4061960700570304</v>
      </c>
      <c r="U47">
        <f t="shared" si="29"/>
        <v>0.23185300977071777</v>
      </c>
      <c r="V47">
        <f t="shared" si="29"/>
        <v>0.13048511389881612</v>
      </c>
      <c r="W47">
        <f t="shared" si="29"/>
        <v>7.2652457455159192E-2</v>
      </c>
      <c r="X47">
        <f t="shared" si="29"/>
        <v>4.0118027403148432E-2</v>
      </c>
      <c r="Y47">
        <f t="shared" si="29"/>
        <v>2.2010977839845739E-2</v>
      </c>
      <c r="Z47">
        <f t="shared" si="29"/>
        <v>1.2016528422135842E-2</v>
      </c>
      <c r="AA47">
        <f t="shared" si="29"/>
        <v>6.5350744928598546E-3</v>
      </c>
      <c r="AB47">
        <f t="shared" si="29"/>
        <v>3.5435608323457143E-3</v>
      </c>
      <c r="AC47">
        <f t="shared" si="29"/>
        <v>1.9171258288149754E-3</v>
      </c>
      <c r="AD47">
        <f t="shared" si="29"/>
        <v>1.035432260347041E-3</v>
      </c>
      <c r="AE47">
        <f t="shared" si="29"/>
        <v>5.5852324659390372E-4</v>
      </c>
      <c r="AF47">
        <f t="shared" si="29"/>
        <v>3.009936255175323E-4</v>
      </c>
      <c r="AG47">
        <f t="shared" si="29"/>
        <v>1.6210112963680831E-4</v>
      </c>
      <c r="AH47">
        <f t="shared" si="29"/>
        <v>8.7260663676867587E-5</v>
      </c>
      <c r="AI47">
        <f t="shared" si="29"/>
        <v>2.3555924267432615E-4</v>
      </c>
    </row>
    <row r="48" spans="1:35">
      <c r="A48" s="1" t="s">
        <v>72</v>
      </c>
      <c r="B48" s="1">
        <f>SUM(B45:B47)</f>
        <v>6.8582531428203719</v>
      </c>
      <c r="F48" t="s">
        <v>85</v>
      </c>
      <c r="G48" s="31">
        <f>G40/G54</f>
        <v>2.2277313884206338</v>
      </c>
      <c r="H48" s="31">
        <f t="shared" ref="H48" si="30">H40/H54</f>
        <v>1.0000000000000002</v>
      </c>
      <c r="I48" s="31">
        <f>I54/I40</f>
        <v>0.4410868873348901</v>
      </c>
      <c r="J48" s="8" t="s">
        <v>77</v>
      </c>
      <c r="K48">
        <f t="shared" ref="K48:AI48" si="31">lz*qa3_</f>
        <v>1.5914916571257928E-3</v>
      </c>
      <c r="L48">
        <f t="shared" si="31"/>
        <v>9.8805807010865915E-2</v>
      </c>
      <c r="M48">
        <f t="shared" si="31"/>
        <v>1.4148433564559233</v>
      </c>
      <c r="N48">
        <f t="shared" si="31"/>
        <v>3.8235105569902967</v>
      </c>
      <c r="O48">
        <f t="shared" si="31"/>
        <v>4.7946677597332981</v>
      </c>
      <c r="P48">
        <f t="shared" si="31"/>
        <v>5.0015601611337663</v>
      </c>
      <c r="Q48">
        <f t="shared" si="31"/>
        <v>4.8533254714682679</v>
      </c>
      <c r="R48">
        <f t="shared" si="31"/>
        <v>4.4331130424021801</v>
      </c>
      <c r="S48">
        <f t="shared" si="31"/>
        <v>3.8158989774419507</v>
      </c>
      <c r="T48">
        <f t="shared" si="31"/>
        <v>3.1552908227441434</v>
      </c>
      <c r="U48">
        <f t="shared" si="31"/>
        <v>2.5557566158174363</v>
      </c>
      <c r="V48">
        <f t="shared" si="31"/>
        <v>2.0411306027402065</v>
      </c>
      <c r="W48">
        <f t="shared" si="31"/>
        <v>1.6127357110442369</v>
      </c>
      <c r="X48">
        <f t="shared" si="31"/>
        <v>1.2637336018508354</v>
      </c>
      <c r="Y48">
        <f t="shared" si="31"/>
        <v>0.98391678129680782</v>
      </c>
      <c r="Z48">
        <f t="shared" si="31"/>
        <v>0.76225646751216614</v>
      </c>
      <c r="AA48">
        <f t="shared" si="31"/>
        <v>0.58826865868245615</v>
      </c>
      <c r="AB48">
        <f t="shared" si="31"/>
        <v>0.45265584216696014</v>
      </c>
      <c r="AC48">
        <f t="shared" si="31"/>
        <v>0.34752169694604751</v>
      </c>
      <c r="AD48">
        <f t="shared" si="31"/>
        <v>0.26635206395766453</v>
      </c>
      <c r="AE48">
        <f t="shared" si="31"/>
        <v>0.20388191168056127</v>
      </c>
      <c r="AF48">
        <f t="shared" si="31"/>
        <v>0.15591855816150196</v>
      </c>
      <c r="AG48">
        <f t="shared" si="31"/>
        <v>0.11915976056670718</v>
      </c>
      <c r="AH48">
        <f t="shared" si="31"/>
        <v>9.1025937595357279E-2</v>
      </c>
      <c r="AI48">
        <f t="shared" si="31"/>
        <v>0.34869832987267485</v>
      </c>
    </row>
    <row r="49" spans="1:19">
      <c r="A49" s="1"/>
      <c r="B49" s="1"/>
      <c r="F49" t="s">
        <v>86</v>
      </c>
      <c r="G49" s="31">
        <f>G41/G55</f>
        <v>1.1740097690247133</v>
      </c>
      <c r="H49" s="31">
        <f t="shared" ref="H49:I49" si="32">H41/H55</f>
        <v>2.2671270189919785</v>
      </c>
      <c r="I49" s="31">
        <f t="shared" si="32"/>
        <v>1.0000000000000002</v>
      </c>
    </row>
    <row r="50" spans="1:19">
      <c r="A50" s="23" t="s">
        <v>88</v>
      </c>
      <c r="B50" s="35">
        <f>f1_*phi_q1</f>
        <v>1.949961854852355</v>
      </c>
      <c r="C50">
        <f>AVERAGE(B50:B52)/B50</f>
        <v>0.64982420178217326</v>
      </c>
    </row>
    <row r="51" spans="1:19">
      <c r="A51" s="23" t="s">
        <v>89</v>
      </c>
      <c r="B51" s="35">
        <f>f2_*phi_q2</f>
        <v>0.84387950574571036</v>
      </c>
      <c r="C51">
        <f>AVERAGE(B50:B52)/B51</f>
        <v>1.5015560837863833</v>
      </c>
      <c r="G51" t="s">
        <v>70</v>
      </c>
    </row>
    <row r="52" spans="1:19">
      <c r="A52" s="23" t="s">
        <v>90</v>
      </c>
      <c r="B52" s="35">
        <f>f3_*phi_q3</f>
        <v>1.007555856907288</v>
      </c>
      <c r="C52">
        <f>AVERAGE(B50:B52)/B52</f>
        <v>1.2576299340114054</v>
      </c>
      <c r="G52" s="1">
        <f>G39^0.5</f>
        <v>10.297225703964481</v>
      </c>
      <c r="H52" s="1">
        <f>H40^0.5</f>
        <v>4.8524137565456407</v>
      </c>
      <c r="I52" s="11">
        <f>I41^0.5</f>
        <v>8.604058785268597</v>
      </c>
    </row>
    <row r="53" spans="1:19">
      <c r="A53" s="29" t="s">
        <v>91</v>
      </c>
      <c r="B53" s="34">
        <f>phi_t1*f1_</f>
        <v>6.8621077852255519E-2</v>
      </c>
      <c r="C53">
        <f>AVERAGE(B53:B55)/B53</f>
        <v>1.0000096090488186</v>
      </c>
      <c r="G53">
        <f t="shared" ref="G53:I55" si="33">G$52*$J53</f>
        <v>106.03285719838679</v>
      </c>
      <c r="H53">
        <f t="shared" si="33"/>
        <v>49.966399660172613</v>
      </c>
      <c r="I53">
        <f t="shared" si="33"/>
        <v>88.597935282089196</v>
      </c>
      <c r="J53">
        <f t="array" ref="J53:J55">TRANSPOSE(G52:I52)</f>
        <v>10.297225703964481</v>
      </c>
    </row>
    <row r="54" spans="1:19">
      <c r="A54" s="29" t="s">
        <v>92</v>
      </c>
      <c r="B54" s="34">
        <f>phi_t2*f2_</f>
        <v>6.86209849903959E-2</v>
      </c>
      <c r="C54">
        <f>AVERAGE(B53:B55)/B54</f>
        <v>1.0000109623192788</v>
      </c>
      <c r="G54">
        <f t="shared" si="33"/>
        <v>49.966399660172613</v>
      </c>
      <c r="H54">
        <f t="shared" si="33"/>
        <v>23.545919264713376</v>
      </c>
      <c r="I54">
        <f t="shared" si="33"/>
        <v>41.750453211764714</v>
      </c>
      <c r="J54">
        <v>4.8524137565456407</v>
      </c>
    </row>
    <row r="55" spans="1:19">
      <c r="A55" s="29" t="s">
        <v>93</v>
      </c>
      <c r="B55" s="34">
        <f>phi_t3*f3_</f>
        <v>6.8623148863976358E-2</v>
      </c>
      <c r="C55">
        <f>AVERAGE(B53:B55)/B55</f>
        <v>0.99997942926757022</v>
      </c>
      <c r="G55">
        <f t="shared" si="33"/>
        <v>88.597935282089196</v>
      </c>
      <c r="H55">
        <f t="shared" si="33"/>
        <v>41.750453211764714</v>
      </c>
      <c r="I55">
        <f t="shared" si="33"/>
        <v>74.029827580357718</v>
      </c>
      <c r="J55">
        <v>8.604058785268597</v>
      </c>
      <c r="S55" s="33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workbookViewId="0">
      <selection activeCell="AD51" sqref="AD51:AE51"/>
    </sheetView>
  </sheetViews>
  <sheetFormatPr baseColWidth="10" defaultRowHeight="18" x14ac:dyDescent="0"/>
  <sheetData>
    <row r="1" spans="1:34">
      <c r="A1" t="s">
        <v>111</v>
      </c>
      <c r="B1">
        <f>SUMXMY2(E2:AH3,E9:AH10)</f>
        <v>1.749621115348202</v>
      </c>
      <c r="D1" t="s">
        <v>116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>
      <c r="B2">
        <f>SUMXMY2(E2:AH2,E9:AH9)</f>
        <v>1.6899990794726225</v>
      </c>
      <c r="D2" t="s">
        <v>106</v>
      </c>
      <c r="E2" s="41">
        <v>4.1028500000000002E-7</v>
      </c>
      <c r="F2" s="41">
        <v>2.7047600000000001E-6</v>
      </c>
      <c r="G2" s="41">
        <v>1.5832999999999999E-5</v>
      </c>
      <c r="H2" s="41">
        <v>8.1434500000000001E-5</v>
      </c>
      <c r="I2">
        <v>3.67432E-4</v>
      </c>
      <c r="J2">
        <v>1.4539500000000001E-3</v>
      </c>
      <c r="K2">
        <v>5.0454899999999997E-3</v>
      </c>
      <c r="L2">
        <v>1.5354400000000001E-2</v>
      </c>
      <c r="M2">
        <v>4.0977E-2</v>
      </c>
      <c r="N2">
        <v>9.59005E-2</v>
      </c>
      <c r="O2">
        <v>0.196824</v>
      </c>
      <c r="P2">
        <v>0.35424899999999998</v>
      </c>
      <c r="Q2">
        <v>0.55913199999999996</v>
      </c>
      <c r="R2">
        <v>0.77392000000000005</v>
      </c>
      <c r="S2">
        <v>0.93940599999999996</v>
      </c>
      <c r="T2">
        <v>0.99998500000000001</v>
      </c>
      <c r="U2">
        <v>0.99999700000000002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B3">
        <f>SUMXMY2(E3:AH3,E10:AH10)</f>
        <v>5.9622035875578225E-2</v>
      </c>
      <c r="D3" t="s">
        <v>107</v>
      </c>
      <c r="E3" s="41">
        <v>9.9999999999999995E-7</v>
      </c>
      <c r="F3">
        <v>8.2440600000000003E-2</v>
      </c>
      <c r="G3">
        <v>0.62406499999999998</v>
      </c>
      <c r="H3">
        <v>0.99904499999999996</v>
      </c>
      <c r="I3">
        <v>0.99992899999999996</v>
      </c>
      <c r="J3">
        <v>0.97229699999999997</v>
      </c>
      <c r="K3">
        <v>0.87010799999999999</v>
      </c>
      <c r="L3">
        <v>0.73338099999999995</v>
      </c>
      <c r="M3">
        <v>0.60741199999999995</v>
      </c>
      <c r="N3">
        <v>0.51769500000000002</v>
      </c>
      <c r="O3">
        <v>0.46621699999999999</v>
      </c>
      <c r="P3">
        <v>0.44195099999999998</v>
      </c>
      <c r="Q3">
        <v>0.432452</v>
      </c>
      <c r="R3">
        <v>0.42934299999999997</v>
      </c>
      <c r="S3">
        <v>0.42848900000000001</v>
      </c>
      <c r="T3">
        <v>0.42829099999999998</v>
      </c>
      <c r="U3">
        <v>0.42825299999999999</v>
      </c>
      <c r="V3">
        <v>0.42824600000000002</v>
      </c>
      <c r="W3">
        <v>0.42824499999999999</v>
      </c>
      <c r="X3">
        <v>0.42824499999999999</v>
      </c>
      <c r="Y3">
        <v>0.42824499999999999</v>
      </c>
      <c r="Z3">
        <v>0.42824499999999999</v>
      </c>
      <c r="AA3">
        <v>0.42824499999999999</v>
      </c>
      <c r="AB3">
        <v>0.42824499999999999</v>
      </c>
      <c r="AC3">
        <v>0.42824499999999999</v>
      </c>
      <c r="AD3">
        <v>0.42824499999999999</v>
      </c>
      <c r="AE3">
        <v>0.42824499999999999</v>
      </c>
      <c r="AF3">
        <v>0.42824499999999999</v>
      </c>
      <c r="AG3">
        <v>0.42824499999999999</v>
      </c>
      <c r="AH3">
        <v>0.42824499999999999</v>
      </c>
    </row>
    <row r="4" spans="1:34">
      <c r="B4">
        <f>SUMXMY2(E4:AH4,E11:AH11)</f>
        <v>2.0030559226343839E-2</v>
      </c>
      <c r="D4" t="s">
        <v>108</v>
      </c>
      <c r="E4" s="41">
        <v>9.9999999999999995E-7</v>
      </c>
      <c r="F4">
        <v>3.4747100000000002E-4</v>
      </c>
      <c r="G4">
        <v>3.3551800000000001E-3</v>
      </c>
      <c r="H4">
        <v>2.2178699999999999E-2</v>
      </c>
      <c r="I4">
        <v>0.100359</v>
      </c>
      <c r="J4">
        <v>0.31086599999999998</v>
      </c>
      <c r="K4">
        <v>0.65915699999999999</v>
      </c>
      <c r="L4">
        <v>0.956812</v>
      </c>
      <c r="M4">
        <v>0.99993900000000002</v>
      </c>
      <c r="N4">
        <v>0.99763400000000002</v>
      </c>
      <c r="O4">
        <v>0.877745</v>
      </c>
      <c r="P4">
        <v>0.70250800000000002</v>
      </c>
      <c r="Q4">
        <v>0.60139100000000001</v>
      </c>
      <c r="R4">
        <v>0.57030000000000003</v>
      </c>
      <c r="S4">
        <v>0.56481499999999996</v>
      </c>
      <c r="T4">
        <v>0.56424300000000005</v>
      </c>
      <c r="U4">
        <v>0.56420700000000001</v>
      </c>
      <c r="V4">
        <v>0.56420599999999999</v>
      </c>
      <c r="W4">
        <v>0.56420599999999999</v>
      </c>
      <c r="X4">
        <v>0.56420599999999999</v>
      </c>
      <c r="Y4">
        <v>0.56420599999999999</v>
      </c>
      <c r="Z4">
        <v>0.56420599999999999</v>
      </c>
      <c r="AA4">
        <v>0.56420599999999999</v>
      </c>
      <c r="AB4">
        <v>0.56420599999999999</v>
      </c>
      <c r="AC4">
        <v>0.56420599999999999</v>
      </c>
      <c r="AD4">
        <v>0.56420599999999999</v>
      </c>
      <c r="AE4">
        <v>0.56420599999999999</v>
      </c>
      <c r="AF4">
        <v>0.56420599999999999</v>
      </c>
      <c r="AG4">
        <v>0.56420599999999999</v>
      </c>
      <c r="AH4">
        <v>0.56420599999999999</v>
      </c>
    </row>
    <row r="8" spans="1:34">
      <c r="A8" t="s">
        <v>9</v>
      </c>
      <c r="B8" t="s">
        <v>10</v>
      </c>
      <c r="C8" t="s">
        <v>12</v>
      </c>
    </row>
    <row r="9" spans="1:34">
      <c r="A9">
        <v>16.103913169968092</v>
      </c>
      <c r="B9">
        <v>1.0653032892962018</v>
      </c>
      <c r="C9">
        <v>1.0001965690954851E-5</v>
      </c>
      <c r="D9" t="s">
        <v>117</v>
      </c>
      <c r="E9" s="4">
        <f t="shared" ref="E9:AH9" si="0">((EXP(g*(ah-Age)/gh)/(1+EXP((ah-Age)/gh))) *(1/(1-g))*((1-g)/g)^g)</f>
        <v>6.9609880464701395E-7</v>
      </c>
      <c r="F9" s="4">
        <f t="shared" si="0"/>
        <v>1.7796659431285789E-6</v>
      </c>
      <c r="G9" s="4">
        <f t="shared" si="0"/>
        <v>4.5499367432958943E-6</v>
      </c>
      <c r="H9" s="4">
        <f t="shared" si="0"/>
        <v>1.1632427532874629E-5</v>
      </c>
      <c r="I9" s="4">
        <f t="shared" si="0"/>
        <v>2.9739287925670794E-5</v>
      </c>
      <c r="J9" s="4">
        <f t="shared" si="0"/>
        <v>7.6028870329641877E-5</v>
      </c>
      <c r="K9" s="4">
        <f t="shared" si="0"/>
        <v>1.943547794224565E-4</v>
      </c>
      <c r="L9" s="4">
        <f t="shared" si="0"/>
        <v>4.9674322392758363E-4</v>
      </c>
      <c r="M9" s="4">
        <f t="shared" si="0"/>
        <v>1.2690081150531374E-3</v>
      </c>
      <c r="N9" s="4">
        <f t="shared" si="0"/>
        <v>3.2379905213052156E-3</v>
      </c>
      <c r="O9" s="4">
        <f t="shared" si="0"/>
        <v>8.2368376871169522E-3</v>
      </c>
      <c r="P9" s="4">
        <f t="shared" si="0"/>
        <v>2.0792008372629657E-2</v>
      </c>
      <c r="Q9" s="4">
        <f t="shared" si="0"/>
        <v>5.1491204908949553E-2</v>
      </c>
      <c r="R9" s="4">
        <f t="shared" si="0"/>
        <v>0.12187661989811299</v>
      </c>
      <c r="S9" s="4">
        <f t="shared" si="0"/>
        <v>0.26191103367452068</v>
      </c>
      <c r="T9" s="4">
        <f t="shared" si="0"/>
        <v>0.4756934927991851</v>
      </c>
      <c r="U9" s="4">
        <f t="shared" si="0"/>
        <v>0.69879031205124198</v>
      </c>
      <c r="V9" s="4">
        <f t="shared" si="0"/>
        <v>0.85577098971353227</v>
      </c>
      <c r="W9" s="4">
        <f t="shared" si="0"/>
        <v>0.93820466490279131</v>
      </c>
      <c r="X9" s="4">
        <f t="shared" si="0"/>
        <v>0.97493218621753863</v>
      </c>
      <c r="Y9" s="4">
        <f t="shared" si="0"/>
        <v>0.99008666767322651</v>
      </c>
      <c r="Z9" s="4">
        <f t="shared" si="0"/>
        <v>0.99613747651752993</v>
      </c>
      <c r="AA9" s="4">
        <f t="shared" si="0"/>
        <v>0.9985186584962954</v>
      </c>
      <c r="AB9" s="4">
        <f t="shared" si="0"/>
        <v>0.99944742353154725</v>
      </c>
      <c r="AC9" s="4">
        <f t="shared" si="0"/>
        <v>0.99980545659782483</v>
      </c>
      <c r="AD9" s="4">
        <f t="shared" si="0"/>
        <v>0.99993985169050448</v>
      </c>
      <c r="AE9" s="4">
        <f t="shared" si="0"/>
        <v>0.9999867125293419</v>
      </c>
      <c r="AF9" s="4">
        <f t="shared" si="0"/>
        <v>0.99999932641061662</v>
      </c>
      <c r="AG9" s="4">
        <f t="shared" si="0"/>
        <v>0.99999854379315545</v>
      </c>
      <c r="AH9" s="4">
        <f t="shared" si="0"/>
        <v>0.99999252120178039</v>
      </c>
    </row>
    <row r="10" spans="1:34">
      <c r="A10">
        <v>2.94001736541456</v>
      </c>
      <c r="B10">
        <v>0.36831376926404646</v>
      </c>
      <c r="C10">
        <v>3.1690884023873961E-2</v>
      </c>
      <c r="D10" t="s">
        <v>118</v>
      </c>
      <c r="E10" s="4">
        <f t="shared" ref="E10:S11" si="1">((EXP(g*(ah-Age)/gh)/(1+EXP((ah-Age)/gh))) *(1/(1-g))*((1-g)/g)^g)</f>
        <v>6.978350582344188E-3</v>
      </c>
      <c r="F10" s="4">
        <f t="shared" si="1"/>
        <v>9.0194401213008132E-2</v>
      </c>
      <c r="G10" s="4">
        <f t="shared" si="1"/>
        <v>0.61901880413532606</v>
      </c>
      <c r="H10" s="4">
        <f t="shared" si="1"/>
        <v>0.99465593451304024</v>
      </c>
      <c r="I10" s="4">
        <f t="shared" si="1"/>
        <v>0.96041218455190969</v>
      </c>
      <c r="J10" s="4">
        <f t="shared" si="1"/>
        <v>0.88429417345340167</v>
      </c>
      <c r="K10" s="4">
        <f t="shared" si="1"/>
        <v>0.81157497969270187</v>
      </c>
      <c r="L10" s="4">
        <f t="shared" si="1"/>
        <v>0.74467572008903793</v>
      </c>
      <c r="M10" s="4">
        <f t="shared" si="1"/>
        <v>0.68328133676838576</v>
      </c>
      <c r="N10" s="4">
        <f t="shared" si="1"/>
        <v>0.62694798926737427</v>
      </c>
      <c r="O10" s="4">
        <f t="shared" si="1"/>
        <v>0.57525902667409179</v>
      </c>
      <c r="P10" s="4">
        <f t="shared" si="1"/>
        <v>0.52783157784834189</v>
      </c>
      <c r="Q10" s="4">
        <f t="shared" si="1"/>
        <v>0.48431430291239808</v>
      </c>
      <c r="R10" s="4">
        <f t="shared" si="1"/>
        <v>0.44438482623082631</v>
      </c>
      <c r="S10" s="4">
        <f t="shared" si="1"/>
        <v>0.40774735042191118</v>
      </c>
      <c r="T10" s="4">
        <f t="shared" ref="T10:V10" si="2">S10</f>
        <v>0.40774735042191118</v>
      </c>
      <c r="U10" s="4">
        <f t="shared" si="2"/>
        <v>0.40774735042191118</v>
      </c>
      <c r="V10" s="4">
        <f t="shared" si="2"/>
        <v>0.40774735042191118</v>
      </c>
      <c r="W10" s="4">
        <f>V10</f>
        <v>0.40774735042191118</v>
      </c>
      <c r="X10" s="4">
        <f t="shared" ref="X10:AH10" si="3">W10</f>
        <v>0.40774735042191118</v>
      </c>
      <c r="Y10" s="4">
        <f t="shared" si="3"/>
        <v>0.40774735042191118</v>
      </c>
      <c r="Z10" s="4">
        <f t="shared" si="3"/>
        <v>0.40774735042191118</v>
      </c>
      <c r="AA10" s="4">
        <f t="shared" si="3"/>
        <v>0.40774735042191118</v>
      </c>
      <c r="AB10" s="4">
        <f t="shared" si="3"/>
        <v>0.40774735042191118</v>
      </c>
      <c r="AC10" s="4">
        <f t="shared" si="3"/>
        <v>0.40774735042191118</v>
      </c>
      <c r="AD10" s="4">
        <f t="shared" si="3"/>
        <v>0.40774735042191118</v>
      </c>
      <c r="AE10" s="4">
        <f t="shared" si="3"/>
        <v>0.40774735042191118</v>
      </c>
      <c r="AF10" s="4">
        <f t="shared" si="3"/>
        <v>0.40774735042191118</v>
      </c>
      <c r="AG10" s="4">
        <f t="shared" si="3"/>
        <v>0.40774735042191118</v>
      </c>
      <c r="AH10" s="4">
        <f t="shared" si="3"/>
        <v>0.40774735042191118</v>
      </c>
    </row>
    <row r="11" spans="1:34">
      <c r="A11">
        <v>6.9694475487251424</v>
      </c>
      <c r="B11">
        <v>0.72278581988550117</v>
      </c>
      <c r="C11">
        <v>7.7284707242588305E-2</v>
      </c>
      <c r="D11" t="s">
        <v>119</v>
      </c>
      <c r="E11" s="4">
        <f t="shared" si="1"/>
        <v>6.4334741280904265E-4</v>
      </c>
      <c r="F11" s="4">
        <f t="shared" si="1"/>
        <v>2.3042741451738541E-3</v>
      </c>
      <c r="G11" s="4">
        <f t="shared" si="1"/>
        <v>8.2341980426726448E-3</v>
      </c>
      <c r="H11" s="4">
        <f t="shared" si="1"/>
        <v>2.9157603133382771E-2</v>
      </c>
      <c r="I11" s="4">
        <f t="shared" si="1"/>
        <v>9.9696143240331561E-2</v>
      </c>
      <c r="J11" s="4">
        <f t="shared" si="1"/>
        <v>0.3018479163757426</v>
      </c>
      <c r="K11" s="4">
        <f t="shared" si="1"/>
        <v>0.66803474486145753</v>
      </c>
      <c r="L11" s="4">
        <f t="shared" si="1"/>
        <v>0.9479333887828354</v>
      </c>
      <c r="M11" s="4">
        <f t="shared" si="1"/>
        <v>0.99647447408102696</v>
      </c>
      <c r="N11" s="4">
        <f t="shared" si="1"/>
        <v>0.93524374287797951</v>
      </c>
      <c r="O11" s="4">
        <f t="shared" si="1"/>
        <v>0.84987723524000125</v>
      </c>
      <c r="P11" s="4">
        <f t="shared" si="1"/>
        <v>0.76585743298234565</v>
      </c>
      <c r="Q11" s="4">
        <f t="shared" si="1"/>
        <v>0.68868271338076326</v>
      </c>
      <c r="R11" s="4">
        <f t="shared" si="1"/>
        <v>0.61895512507357631</v>
      </c>
      <c r="S11" s="4">
        <f t="shared" si="1"/>
        <v>0.55621300063831414</v>
      </c>
      <c r="T11" s="4">
        <f>S11</f>
        <v>0.55621300063831414</v>
      </c>
      <c r="U11" s="4">
        <f t="shared" ref="U11:AH11" si="4">T11</f>
        <v>0.55621300063831414</v>
      </c>
      <c r="V11" s="4">
        <f t="shared" si="4"/>
        <v>0.55621300063831414</v>
      </c>
      <c r="W11" s="4">
        <f t="shared" si="4"/>
        <v>0.55621300063831414</v>
      </c>
      <c r="X11" s="4">
        <f t="shared" si="4"/>
        <v>0.55621300063831414</v>
      </c>
      <c r="Y11" s="4">
        <f t="shared" si="4"/>
        <v>0.55621300063831414</v>
      </c>
      <c r="Z11" s="4">
        <f t="shared" si="4"/>
        <v>0.55621300063831414</v>
      </c>
      <c r="AA11" s="4">
        <f t="shared" si="4"/>
        <v>0.55621300063831414</v>
      </c>
      <c r="AB11" s="4">
        <f t="shared" si="4"/>
        <v>0.55621300063831414</v>
      </c>
      <c r="AC11" s="4">
        <f t="shared" si="4"/>
        <v>0.55621300063831414</v>
      </c>
      <c r="AD11" s="4">
        <f t="shared" si="4"/>
        <v>0.55621300063831414</v>
      </c>
      <c r="AE11" s="4">
        <f t="shared" si="4"/>
        <v>0.55621300063831414</v>
      </c>
      <c r="AF11" s="4">
        <f t="shared" si="4"/>
        <v>0.55621300063831414</v>
      </c>
      <c r="AG11" s="4">
        <f t="shared" si="4"/>
        <v>0.55621300063831414</v>
      </c>
      <c r="AH11" s="4">
        <f t="shared" si="4"/>
        <v>0.55621300063831414</v>
      </c>
    </row>
    <row r="51" spans="30:31">
      <c r="AD51" t="s">
        <v>146</v>
      </c>
      <c r="AE51" t="s">
        <v>147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activeCell="C4" sqref="C4"/>
    </sheetView>
  </sheetViews>
  <sheetFormatPr baseColWidth="10" defaultRowHeight="18" x14ac:dyDescent="0"/>
  <sheetData>
    <row r="1" spans="1:33">
      <c r="A1" t="s">
        <v>125</v>
      </c>
      <c r="B1">
        <v>78.721378871832741</v>
      </c>
      <c r="C1" t="s">
        <v>116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>
      <c r="A2" t="s">
        <v>126</v>
      </c>
      <c r="B2">
        <v>7.785234075604705E-2</v>
      </c>
      <c r="C2" t="s">
        <v>123</v>
      </c>
      <c r="D2">
        <v>0.94</v>
      </c>
      <c r="E2">
        <v>1.87</v>
      </c>
      <c r="F2">
        <v>2.81</v>
      </c>
      <c r="G2">
        <v>3.75</v>
      </c>
      <c r="H2">
        <v>4.6900000000000004</v>
      </c>
      <c r="I2">
        <v>5.62</v>
      </c>
      <c r="J2">
        <v>6.56</v>
      </c>
      <c r="K2">
        <v>7.32</v>
      </c>
      <c r="L2">
        <v>8.61</v>
      </c>
      <c r="M2">
        <v>10.94</v>
      </c>
      <c r="N2">
        <v>14.14</v>
      </c>
      <c r="O2">
        <v>17.64</v>
      </c>
      <c r="P2">
        <v>19.920000000000002</v>
      </c>
      <c r="Q2">
        <v>22.6</v>
      </c>
      <c r="R2">
        <v>24.53</v>
      </c>
      <c r="S2">
        <v>30.09</v>
      </c>
      <c r="T2">
        <v>34.26</v>
      </c>
      <c r="U2">
        <v>33.229999999999997</v>
      </c>
      <c r="V2">
        <v>42.13</v>
      </c>
      <c r="W2">
        <v>39.68</v>
      </c>
      <c r="X2">
        <v>35.659999999999997</v>
      </c>
      <c r="Y2">
        <v>46.31</v>
      </c>
      <c r="Z2">
        <v>48.46</v>
      </c>
      <c r="AA2">
        <v>47.26</v>
      </c>
      <c r="AB2">
        <v>49.13</v>
      </c>
      <c r="AC2">
        <v>51</v>
      </c>
      <c r="AD2">
        <v>52.87</v>
      </c>
      <c r="AE2">
        <v>54.74</v>
      </c>
      <c r="AF2">
        <v>56.61</v>
      </c>
      <c r="AG2">
        <v>58.48</v>
      </c>
    </row>
    <row r="3" spans="1:33">
      <c r="A3" t="s">
        <v>127</v>
      </c>
      <c r="B3">
        <v>0.16405328226882354</v>
      </c>
      <c r="C3" t="s">
        <v>124</v>
      </c>
      <c r="D3">
        <f t="shared" ref="D3:AG3" si="0">winf*((1-EXP(-k*(Age+to)))^3)</f>
        <v>5.119595845220104E-2</v>
      </c>
      <c r="E3">
        <f t="shared" si="0"/>
        <v>0.29342654700295195</v>
      </c>
      <c r="F3">
        <f t="shared" si="0"/>
        <v>0.81933682071645242</v>
      </c>
      <c r="G3">
        <f t="shared" si="0"/>
        <v>1.6709810823264646</v>
      </c>
      <c r="H3">
        <f t="shared" si="0"/>
        <v>2.8558870175071962</v>
      </c>
      <c r="I3">
        <f t="shared" si="0"/>
        <v>4.3588001475024312</v>
      </c>
      <c r="J3">
        <f t="shared" si="0"/>
        <v>6.1502628318442012</v>
      </c>
      <c r="K3">
        <f t="shared" si="0"/>
        <v>8.192795548053061</v>
      </c>
      <c r="L3">
        <f t="shared" si="0"/>
        <v>10.445272284860348</v>
      </c>
      <c r="M3">
        <f t="shared" si="0"/>
        <v>12.86594496174534</v>
      </c>
      <c r="N3">
        <f t="shared" si="0"/>
        <v>15.414465376124738</v>
      </c>
      <c r="O3">
        <f t="shared" si="0"/>
        <v>18.053170635876704</v>
      </c>
      <c r="P3">
        <f t="shared" si="0"/>
        <v>20.747834140329509</v>
      </c>
      <c r="Q3">
        <f t="shared" si="0"/>
        <v>23.468034831476942</v>
      </c>
      <c r="R3">
        <f t="shared" si="0"/>
        <v>26.187259436828722</v>
      </c>
      <c r="S3">
        <f t="shared" si="0"/>
        <v>28.882823249044712</v>
      </c>
      <c r="T3">
        <f t="shared" si="0"/>
        <v>31.535672665067079</v>
      </c>
      <c r="U3">
        <f t="shared" si="0"/>
        <v>34.130115698146071</v>
      </c>
      <c r="V3">
        <f t="shared" si="0"/>
        <v>36.653513776545324</v>
      </c>
      <c r="W3">
        <f t="shared" si="0"/>
        <v>39.09595841409763</v>
      </c>
      <c r="X3">
        <f t="shared" si="0"/>
        <v>41.449949048961749</v>
      </c>
      <c r="Y3">
        <f t="shared" si="0"/>
        <v>43.710082929277405</v>
      </c>
      <c r="Z3">
        <f t="shared" si="0"/>
        <v>45.872763936511646</v>
      </c>
      <c r="AA3">
        <f t="shared" si="0"/>
        <v>47.935934337174366</v>
      </c>
      <c r="AB3">
        <f t="shared" si="0"/>
        <v>49.898831376935767</v>
      </c>
      <c r="AC3">
        <f t="shared" si="0"/>
        <v>51.761769174237017</v>
      </c>
      <c r="AD3">
        <f t="shared" si="0"/>
        <v>53.525945376613791</v>
      </c>
      <c r="AE3">
        <f t="shared" si="0"/>
        <v>55.193271392160312</v>
      </c>
      <c r="AF3">
        <f t="shared" si="0"/>
        <v>56.76622460928558</v>
      </c>
      <c r="AG3">
        <f t="shared" si="0"/>
        <v>58.247720800593093</v>
      </c>
    </row>
    <row r="4" spans="1:33">
      <c r="A4" t="s">
        <v>111</v>
      </c>
      <c r="B4">
        <f>SUMXMY2(Wa,Wa_hat)</f>
        <v>119.84430992893407</v>
      </c>
    </row>
    <row r="5" spans="1:33">
      <c r="A5" t="s">
        <v>79</v>
      </c>
      <c r="B5">
        <f>(winf/0.00001)^(1/3)</f>
        <v>198.92875480624187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Status Quo</vt:lpstr>
      <vt:lpstr>Excluders (1)</vt:lpstr>
      <vt:lpstr>Excluders (2)</vt:lpstr>
      <vt:lpstr>No Size Limit (1)</vt:lpstr>
      <vt:lpstr>No Size Limit (2)</vt:lpstr>
      <vt:lpstr>Reduce DMR (1)</vt:lpstr>
      <vt:lpstr>Reduce DMR (2)</vt:lpstr>
      <vt:lpstr>Proof of Concept</vt:lpstr>
      <vt:lpstr>Selectivities</vt:lpstr>
      <vt:lpstr>SAA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2015-08-14T19:00:37Z</dcterms:modified>
</cp:coreProperties>
</file>