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51200" windowHeight="28260" tabRatio="500" activeTab="1"/>
  </bookViews>
  <sheets>
    <sheet name="SUMMARY" sheetId="6" r:id="rId1"/>
    <sheet name="Status Quo" sheetId="3" r:id="rId2"/>
    <sheet name="Excluders (1)" sheetId="7" r:id="rId3"/>
    <sheet name="Excluders (2)" sheetId="10" r:id="rId4"/>
    <sheet name="No Size Limit (1)" sheetId="8" r:id="rId5"/>
    <sheet name="No Size Limit (2)" sheetId="11" r:id="rId6"/>
    <sheet name="Reduce DMR (1)" sheetId="9" r:id="rId7"/>
    <sheet name="Reduce DMR (2)" sheetId="12" r:id="rId8"/>
    <sheet name="Proof of Concept" sheetId="1" r:id="rId9"/>
    <sheet name="Selectivities" sheetId="4" r:id="rId10"/>
    <sheet name="SAA" sheetId="5" r:id="rId11"/>
  </sheets>
  <definedNames>
    <definedName name="age" localSheetId="2">'Excluders (1)'!$K$3:$AI$3</definedName>
    <definedName name="age" localSheetId="3">'Excluders (2)'!$K$3:$AI$3</definedName>
    <definedName name="age" localSheetId="4">'No Size Limit (1)'!$K$3:$AI$3</definedName>
    <definedName name="age" localSheetId="5">'No Size Limit (2)'!$K$3:$AI$3</definedName>
    <definedName name="age" localSheetId="6">'Reduce DMR (1)'!$K$3:$AI$3</definedName>
    <definedName name="age" localSheetId="7">'Reduce DMR (2)'!$K$3:$AI$3</definedName>
    <definedName name="Age" localSheetId="10">SAA!$D$1:$AG$1</definedName>
    <definedName name="Age" localSheetId="9">Selectivities!$E$1:$AH$1</definedName>
    <definedName name="age" localSheetId="1">'Status Quo'!$K$3:$AI$3</definedName>
    <definedName name="age">'Proof of Concept'!$K$3:$AI$3</definedName>
    <definedName name="ah" localSheetId="2">'Excluders (1)'!$G$18:$G$20</definedName>
    <definedName name="ah" localSheetId="3">'Excluders (2)'!$G$18:$G$20</definedName>
    <definedName name="ah" localSheetId="4">'No Size Limit (1)'!$G$18:$G$20</definedName>
    <definedName name="ah" localSheetId="5">'No Size Limit (2)'!$G$18:$G$20</definedName>
    <definedName name="ah" localSheetId="6">'Reduce DMR (1)'!$G$18:$G$20</definedName>
    <definedName name="ah" localSheetId="7">'Reduce DMR (2)'!$G$18:$G$20</definedName>
    <definedName name="ah" localSheetId="9">Selectivities!$A$9:$A$13</definedName>
    <definedName name="ah" localSheetId="1">'Status Quo'!$G$18:$G$20</definedName>
    <definedName name="ah">'Proof of Concept'!$G$18:$G$20</definedName>
    <definedName name="avg_wt1" localSheetId="2">'Excluders (1)'!$B$60</definedName>
    <definedName name="avg_wt1" localSheetId="3">'Excluders (2)'!$B$60</definedName>
    <definedName name="avg_wt1" localSheetId="4">'No Size Limit (1)'!$B$60</definedName>
    <definedName name="avg_wt1" localSheetId="5">'No Size Limit (2)'!$B$60</definedName>
    <definedName name="avg_wt1" localSheetId="6">'Reduce DMR (1)'!$B$60</definedName>
    <definedName name="avg_wt1" localSheetId="7">'Reduce DMR (2)'!$B$60</definedName>
    <definedName name="avg_wt1">'Status Quo'!$B$60</definedName>
    <definedName name="avg_wt2" localSheetId="2">'Excluders (1)'!$B$61</definedName>
    <definedName name="avg_wt2" localSheetId="3">'Excluders (2)'!$B$61</definedName>
    <definedName name="avg_wt2" localSheetId="4">'No Size Limit (1)'!$B$61</definedName>
    <definedName name="avg_wt2" localSheetId="5">'No Size Limit (2)'!$B$61</definedName>
    <definedName name="avg_wt2" localSheetId="6">'Reduce DMR (1)'!$B$61</definedName>
    <definedName name="avg_wt2" localSheetId="7">'Reduce DMR (2)'!$B$61</definedName>
    <definedName name="avg_wt2">'Status Quo'!$B$61</definedName>
    <definedName name="avg_wt3" localSheetId="2">'Excluders (1)'!$B$62</definedName>
    <definedName name="avg_wt3" localSheetId="3">'Excluders (2)'!$B$62</definedName>
    <definedName name="avg_wt3" localSheetId="4">'No Size Limit (1)'!$B$62</definedName>
    <definedName name="avg_wt3" localSheetId="5">'No Size Limit (2)'!$B$62</definedName>
    <definedName name="avg_wt3" localSheetId="6">'Reduce DMR (1)'!$B$62</definedName>
    <definedName name="avg_wt3" localSheetId="7">'Reduce DMR (2)'!$B$62</definedName>
    <definedName name="avg_wt3">'Status Quo'!$B$62</definedName>
    <definedName name="Bo" localSheetId="2">'Excluders (1)'!$B$18</definedName>
    <definedName name="Bo" localSheetId="3">'Excluders (2)'!$B$18</definedName>
    <definedName name="Bo" localSheetId="4">'No Size Limit (1)'!$B$18</definedName>
    <definedName name="Bo" localSheetId="5">'No Size Limit (2)'!$B$18</definedName>
    <definedName name="Bo" localSheetId="6">'Reduce DMR (1)'!$B$18</definedName>
    <definedName name="Bo" localSheetId="7">'Reduce DMR (2)'!$B$18</definedName>
    <definedName name="Bo" localSheetId="1">'Status Quo'!$B$18</definedName>
    <definedName name="Bo">'Proof of Concept'!$B$18</definedName>
    <definedName name="daq21_" localSheetId="2">'Excluders (1)'!$K$38:$AI$38</definedName>
    <definedName name="daq21_" localSheetId="3">'Excluders (2)'!$K$38:$AI$38</definedName>
    <definedName name="daq21_" localSheetId="4">'No Size Limit (1)'!$K$38:$AI$38</definedName>
    <definedName name="daq21_" localSheetId="5">'No Size Limit (2)'!$K$38:$AI$38</definedName>
    <definedName name="daq21_" localSheetId="6">'Reduce DMR (1)'!$K$38:$AI$38</definedName>
    <definedName name="daq21_" localSheetId="7">'Reduce DMR (2)'!$K$38:$AI$38</definedName>
    <definedName name="daq21_" localSheetId="1">'Status Quo'!$K$38:$AI$38</definedName>
    <definedName name="daq21_">'Proof of Concept'!$K$38:$AI$38</definedName>
    <definedName name="dlz1_" localSheetId="2">'Excluders (1)'!$K$31:$AI$31</definedName>
    <definedName name="dlz1_" localSheetId="3">'Excluders (2)'!$K$31:$AI$31</definedName>
    <definedName name="dlz1_" localSheetId="4">'No Size Limit (1)'!$K$31:$AI$31</definedName>
    <definedName name="dlz1_" localSheetId="5">'No Size Limit (2)'!$K$31:$AI$31</definedName>
    <definedName name="dlz1_" localSheetId="6">'Reduce DMR (1)'!$K$31:$AI$31</definedName>
    <definedName name="dlz1_" localSheetId="7">'Reduce DMR (2)'!$K$31:$AI$31</definedName>
    <definedName name="dlz1_" localSheetId="1">'Status Quo'!$K$31:$AI$31</definedName>
    <definedName name="dlz1_">'Proof of Concept'!$K$31:$AI$31</definedName>
    <definedName name="dlz2_" localSheetId="2">'Excluders (1)'!$K$32:$AI$32</definedName>
    <definedName name="dlz2_" localSheetId="3">'Excluders (2)'!$K$32:$AI$32</definedName>
    <definedName name="dlz2_" localSheetId="4">'No Size Limit (1)'!$K$32:$AI$32</definedName>
    <definedName name="dlz2_" localSheetId="5">'No Size Limit (2)'!$K$32:$AI$32</definedName>
    <definedName name="dlz2_" localSheetId="6">'Reduce DMR (1)'!$K$32:$AI$32</definedName>
    <definedName name="dlz2_" localSheetId="7">'Reduce DMR (2)'!$K$32:$AI$32</definedName>
    <definedName name="dlz2_" localSheetId="1">'Status Quo'!$K$32:$AI$32</definedName>
    <definedName name="dlz2_">'Proof of Concept'!$K$32:$AI$32</definedName>
    <definedName name="dlz3_" localSheetId="2">'Excluders (1)'!$K$33:$AI$33</definedName>
    <definedName name="dlz3_" localSheetId="3">'Excluders (2)'!$K$33:$AI$33</definedName>
    <definedName name="dlz3_" localSheetId="4">'No Size Limit (1)'!$K$33:$AI$33</definedName>
    <definedName name="dlz3_" localSheetId="5">'No Size Limit (2)'!$K$33:$AI$33</definedName>
    <definedName name="dlz3_" localSheetId="6">'Reduce DMR (1)'!$K$33:$AI$33</definedName>
    <definedName name="dlz3_" localSheetId="7">'Reduce DMR (2)'!$K$33:$AI$33</definedName>
    <definedName name="dlz3_" localSheetId="1">'Status Quo'!$K$33:$AI$33</definedName>
    <definedName name="dlz3_">'Proof of Concept'!$K$33:$AI$33</definedName>
    <definedName name="dmr" localSheetId="2">'Excluders (1)'!$F$18:$F$20</definedName>
    <definedName name="dmr" localSheetId="3">'Excluders (2)'!$F$18:$F$20</definedName>
    <definedName name="dmr" localSheetId="4">'No Size Limit (1)'!$F$18:$F$20</definedName>
    <definedName name="dmr" localSheetId="5">'No Size Limit (2)'!$F$18:$F$20</definedName>
    <definedName name="dmr" localSheetId="6">'Reduce DMR (1)'!$F$18:$F$20</definedName>
    <definedName name="dmr" localSheetId="7">'Reduce DMR (2)'!$F$18:$F$20</definedName>
    <definedName name="dmr" localSheetId="1">'Status Quo'!$F$18:$F$20</definedName>
    <definedName name="dmr">'Proof of Concept'!$F$18:$F$20</definedName>
    <definedName name="dphif" localSheetId="2">'Excluders (1)'!$G$31:$G$33</definedName>
    <definedName name="dphif" localSheetId="3">'Excluders (2)'!$G$31:$G$33</definedName>
    <definedName name="dphif" localSheetId="4">'No Size Limit (1)'!$G$31:$G$33</definedName>
    <definedName name="dphif" localSheetId="5">'No Size Limit (2)'!$G$31:$G$33</definedName>
    <definedName name="dphif" localSheetId="8">'Proof of Concept'!$G$31:$G$33</definedName>
    <definedName name="dphif" localSheetId="6">'Reduce DMR (1)'!$G$31:$G$33</definedName>
    <definedName name="dphif" localSheetId="7">'Reduce DMR (2)'!$G$31:$G$33</definedName>
    <definedName name="dphif" localSheetId="1">'Status Quo'!$G$31:$G$33</definedName>
    <definedName name="dqa1_" localSheetId="2">'Excluders (1)'!$K$35:$AI$35</definedName>
    <definedName name="dqa1_" localSheetId="3">'Excluders (2)'!$K$35:$AI$35</definedName>
    <definedName name="dqa1_" localSheetId="4">'No Size Limit (1)'!$K$35:$AI$35</definedName>
    <definedName name="dqa1_" localSheetId="5">'No Size Limit (2)'!$K$35:$AI$35</definedName>
    <definedName name="dqa1_" localSheetId="6">'Reduce DMR (1)'!$K$35:$AI$35</definedName>
    <definedName name="dqa1_" localSheetId="7">'Reduce DMR (2)'!$K$35:$AI$35</definedName>
    <definedName name="dqa1_" localSheetId="1">'Status Quo'!$K$35:$AI$35</definedName>
    <definedName name="dqa1_">'Proof of Concept'!$K$35:$AI$35</definedName>
    <definedName name="dqa11_" localSheetId="2">'Excluders (1)'!$K$35:$AI$35</definedName>
    <definedName name="dqa11_" localSheetId="3">'Excluders (2)'!$K$35:$AI$35</definedName>
    <definedName name="dqa11_" localSheetId="4">'No Size Limit (1)'!$K$35:$AI$35</definedName>
    <definedName name="dqa11_" localSheetId="5">'No Size Limit (2)'!$K$35:$AI$35</definedName>
    <definedName name="dqa11_" localSheetId="6">'Reduce DMR (1)'!$K$35:$AI$35</definedName>
    <definedName name="dqa11_" localSheetId="7">'Reduce DMR (2)'!$K$35:$AI$35</definedName>
    <definedName name="dqa11_" localSheetId="1">'Status Quo'!$K$35:$AI$35</definedName>
    <definedName name="dqa11_">'Proof of Concept'!$K$35:$AI$35</definedName>
    <definedName name="dqa12_" localSheetId="2">'Excluders (1)'!$K$40:$AI$40</definedName>
    <definedName name="dqa12_" localSheetId="3">'Excluders (2)'!$K$40:$AI$40</definedName>
    <definedName name="dqa12_" localSheetId="4">'No Size Limit (1)'!$K$40:$AI$40</definedName>
    <definedName name="dqa12_" localSheetId="5">'No Size Limit (2)'!$K$40:$AI$40</definedName>
    <definedName name="dqa12_" localSheetId="6">'Reduce DMR (1)'!$K$40:$AI$40</definedName>
    <definedName name="dqa12_" localSheetId="7">'Reduce DMR (2)'!$K$40:$AI$40</definedName>
    <definedName name="dqa12_" localSheetId="1">'Status Quo'!$K$40:$AI$40</definedName>
    <definedName name="dqa12_">'Proof of Concept'!$K$40:$AI$40</definedName>
    <definedName name="dqa13_" localSheetId="2">'Excluders (1)'!$K$42:$AI$42</definedName>
    <definedName name="dqa13_" localSheetId="3">'Excluders (2)'!$K$42:$AI$42</definedName>
    <definedName name="dqa13_" localSheetId="4">'No Size Limit (1)'!$K$42:$AI$42</definedName>
    <definedName name="dqa13_" localSheetId="5">'No Size Limit (2)'!$K$42:$AI$42</definedName>
    <definedName name="dqa13_" localSheetId="6">'Reduce DMR (1)'!$K$42:$AI$42</definedName>
    <definedName name="dqa13_" localSheetId="7">'Reduce DMR (2)'!$K$42:$AI$42</definedName>
    <definedName name="dqa13_" localSheetId="1">'Status Quo'!$K$42:$AI$42</definedName>
    <definedName name="dqa13_">'Proof of Concept'!$K$42:$AI$42</definedName>
    <definedName name="dqa2_" localSheetId="2">'Excluders (1)'!$K$36:$AI$36</definedName>
    <definedName name="dqa2_" localSheetId="3">'Excluders (2)'!$K$36:$AI$36</definedName>
    <definedName name="dqa2_" localSheetId="4">'No Size Limit (1)'!$K$36:$AI$36</definedName>
    <definedName name="dqa2_" localSheetId="5">'No Size Limit (2)'!$K$36:$AI$36</definedName>
    <definedName name="dqa2_" localSheetId="6">'Reduce DMR (1)'!$K$36:$AI$36</definedName>
    <definedName name="dqa2_" localSheetId="7">'Reduce DMR (2)'!$K$36:$AI$36</definedName>
    <definedName name="dqa2_" localSheetId="1">'Status Quo'!$K$36:$AI$36</definedName>
    <definedName name="dqa2_">'Proof of Concept'!$K$36:$AI$36</definedName>
    <definedName name="dqa21_" localSheetId="2">'Excluders (1)'!$K$38:$AI$38</definedName>
    <definedName name="dqa21_" localSheetId="3">'Excluders (2)'!$K$38:$AI$38</definedName>
    <definedName name="dqa21_" localSheetId="4">'No Size Limit (1)'!$K$38:$AI$38</definedName>
    <definedName name="dqa21_" localSheetId="5">'No Size Limit (2)'!$K$38:$AI$38</definedName>
    <definedName name="dqa21_" localSheetId="6">'Reduce DMR (1)'!$K$38:$AI$38</definedName>
    <definedName name="dqa21_" localSheetId="7">'Reduce DMR (2)'!$K$38:$AI$38</definedName>
    <definedName name="dqa21_" localSheetId="1">'Status Quo'!$K$38:$AI$38</definedName>
    <definedName name="dqa21_">'Proof of Concept'!$K$38:$AI$38</definedName>
    <definedName name="dqa22_" localSheetId="2">'Excluders (1)'!$K$36:$AI$36</definedName>
    <definedName name="dqa22_" localSheetId="3">'Excluders (2)'!$K$36:$AI$36</definedName>
    <definedName name="dqa22_" localSheetId="4">'No Size Limit (1)'!$K$36:$AI$36</definedName>
    <definedName name="dqa22_" localSheetId="5">'No Size Limit (2)'!$K$36:$AI$36</definedName>
    <definedName name="dqa22_" localSheetId="6">'Reduce DMR (1)'!$K$36:$AI$36</definedName>
    <definedName name="dqa22_" localSheetId="7">'Reduce DMR (2)'!$K$36:$AI$36</definedName>
    <definedName name="dqa22_" localSheetId="1">'Status Quo'!$K$36:$AI$36</definedName>
    <definedName name="dqa22_">'Proof of Concept'!$K$36:$AI$36</definedName>
    <definedName name="dqa23_" localSheetId="2">'Excluders (1)'!$K$43:$AI$43</definedName>
    <definedName name="dqa23_" localSheetId="3">'Excluders (2)'!$K$43:$AI$43</definedName>
    <definedName name="dqa23_" localSheetId="4">'No Size Limit (1)'!$K$43:$AI$43</definedName>
    <definedName name="dqa23_" localSheetId="5">'No Size Limit (2)'!$K$43:$AI$43</definedName>
    <definedName name="dqa23_" localSheetId="6">'Reduce DMR (1)'!$K$43:$AI$43</definedName>
    <definedName name="dqa23_" localSheetId="7">'Reduce DMR (2)'!$K$43:$AI$43</definedName>
    <definedName name="dqa23_" localSheetId="1">'Status Quo'!$K$43:$AI$43</definedName>
    <definedName name="dqa23_">'Proof of Concept'!$K$43:$AI$43</definedName>
    <definedName name="dqa3_" localSheetId="2">'Excluders (1)'!$K$37:$AI$37</definedName>
    <definedName name="dqa3_" localSheetId="3">'Excluders (2)'!$K$37:$AI$37</definedName>
    <definedName name="dqa3_" localSheetId="4">'No Size Limit (1)'!$K$37:$AI$37</definedName>
    <definedName name="dqa3_" localSheetId="5">'No Size Limit (2)'!$K$37:$AI$37</definedName>
    <definedName name="dqa3_" localSheetId="6">'Reduce DMR (1)'!$K$37:$AI$37</definedName>
    <definedName name="dqa3_" localSheetId="7">'Reduce DMR (2)'!$K$37:$AI$37</definedName>
    <definedName name="dqa3_" localSheetId="1">'Status Quo'!$K$37:$AI$37</definedName>
    <definedName name="dqa3_">'Proof of Concept'!$K$37:$AI$37</definedName>
    <definedName name="dqa31_" localSheetId="2">'Excluders (1)'!$K$39:$AI$39</definedName>
    <definedName name="dqa31_" localSheetId="3">'Excluders (2)'!$K$39:$AI$39</definedName>
    <definedName name="dqa31_" localSheetId="4">'No Size Limit (1)'!$K$39:$AI$39</definedName>
    <definedName name="dqa31_" localSheetId="5">'No Size Limit (2)'!$K$39:$AI$39</definedName>
    <definedName name="dqa31_" localSheetId="6">'Reduce DMR (1)'!$K$39:$AI$39</definedName>
    <definedName name="dqa31_" localSheetId="7">'Reduce DMR (2)'!$K$39:$AI$39</definedName>
    <definedName name="dqa31_" localSheetId="1">'Status Quo'!$K$39:$AI$39</definedName>
    <definedName name="dqa31_">'Proof of Concept'!$K$39:$AI$39</definedName>
    <definedName name="dqa32_" localSheetId="2">'Excluders (1)'!$K$41:$AI$41</definedName>
    <definedName name="dqa32_" localSheetId="3">'Excluders (2)'!$K$41:$AI$41</definedName>
    <definedName name="dqa32_" localSheetId="4">'No Size Limit (1)'!$K$41:$AI$41</definedName>
    <definedName name="dqa32_" localSheetId="5">'No Size Limit (2)'!$K$41:$AI$41</definedName>
    <definedName name="dqa32_" localSheetId="6">'Reduce DMR (1)'!$K$41:$AI$41</definedName>
    <definedName name="dqa32_" localSheetId="7">'Reduce DMR (2)'!$K$41:$AI$41</definedName>
    <definedName name="dqa32_" localSheetId="1">'Status Quo'!$K$41:$AI$41</definedName>
    <definedName name="dqa32_">'Proof of Concept'!$K$41:$AI$41</definedName>
    <definedName name="dqa33_" localSheetId="2">'Excluders (1)'!$K$37:$AI$37</definedName>
    <definedName name="dqa33_" localSheetId="3">'Excluders (2)'!$K$37:$AI$37</definedName>
    <definedName name="dqa33_" localSheetId="4">'No Size Limit (1)'!$K$37:$AI$37</definedName>
    <definedName name="dqa33_" localSheetId="5">'No Size Limit (2)'!$K$37:$AI$37</definedName>
    <definedName name="dqa33_" localSheetId="6">'Reduce DMR (1)'!$K$37:$AI$37</definedName>
    <definedName name="dqa33_" localSheetId="7">'Reduce DMR (2)'!$K$37:$AI$37</definedName>
    <definedName name="dqa33_" localSheetId="1">'Status Quo'!$K$37:$AI$37</definedName>
    <definedName name="dqa33_">'Proof of Concept'!$K$37:$AI$37</definedName>
    <definedName name="dre" localSheetId="2">'Excluders (1)'!$H$31:$H$33</definedName>
    <definedName name="dre" localSheetId="3">'Excluders (2)'!$H$31:$H$33</definedName>
    <definedName name="dre" localSheetId="4">'No Size Limit (1)'!$H$31:$H$33</definedName>
    <definedName name="dre" localSheetId="5">'No Size Limit (2)'!$H$31:$H$33</definedName>
    <definedName name="dre" localSheetId="6">'Reduce DMR (1)'!$H$31:$H$33</definedName>
    <definedName name="dre" localSheetId="7">'Reduce DMR (2)'!$H$31:$H$33</definedName>
    <definedName name="dre" localSheetId="1">'Status Quo'!$H$31:$H$33</definedName>
    <definedName name="dre">'Proof of Concept'!$H$31:$H$33</definedName>
    <definedName name="f1_" localSheetId="2">'Excluders (1)'!$B$27</definedName>
    <definedName name="f1_" localSheetId="3">'Excluders (2)'!$B$27</definedName>
    <definedName name="f1_" localSheetId="4">'No Size Limit (1)'!$B$27</definedName>
    <definedName name="f1_" localSheetId="5">'No Size Limit (2)'!$B$27</definedName>
    <definedName name="f1_" localSheetId="6">'Reduce DMR (1)'!$B$27</definedName>
    <definedName name="f1_" localSheetId="7">'Reduce DMR (2)'!$B$27</definedName>
    <definedName name="f1_" localSheetId="1">'Status Quo'!$B$27</definedName>
    <definedName name="f1_">'Proof of Concept'!$B$27</definedName>
    <definedName name="f2_" localSheetId="2">'Excluders (1)'!$B$28</definedName>
    <definedName name="f2_" localSheetId="3">'Excluders (2)'!$B$28</definedName>
    <definedName name="f2_" localSheetId="4">'No Size Limit (1)'!$B$28</definedName>
    <definedName name="f2_" localSheetId="5">'No Size Limit (2)'!$B$28</definedName>
    <definedName name="f2_" localSheetId="6">'Reduce DMR (1)'!$B$28</definedName>
    <definedName name="f2_" localSheetId="7">'Reduce DMR (2)'!$B$28</definedName>
    <definedName name="f2_" localSheetId="1">'Status Quo'!$B$28</definedName>
    <definedName name="f2_">'Proof of Concept'!$B$28</definedName>
    <definedName name="f3_" localSheetId="2">'Excluders (1)'!$B$29</definedName>
    <definedName name="f3_" localSheetId="3">'Excluders (2)'!$B$29</definedName>
    <definedName name="f3_" localSheetId="4">'No Size Limit (1)'!$B$29</definedName>
    <definedName name="f3_" localSheetId="5">'No Size Limit (2)'!$B$29</definedName>
    <definedName name="f3_" localSheetId="6">'Reduce DMR (1)'!$B$29</definedName>
    <definedName name="f3_" localSheetId="7">'Reduce DMR (2)'!$B$29</definedName>
    <definedName name="f3_" localSheetId="1">'Status Quo'!$B$29</definedName>
    <definedName name="f3_">'Proof of Concept'!$B$29</definedName>
    <definedName name="fbar" localSheetId="2">'Excluders (1)'!$B$30</definedName>
    <definedName name="fbar" localSheetId="3">'Excluders (2)'!$B$30</definedName>
    <definedName name="fbar" localSheetId="4">'No Size Limit (1)'!$B$30</definedName>
    <definedName name="fbar" localSheetId="5">'No Size Limit (2)'!$B$30</definedName>
    <definedName name="fbar" localSheetId="6">'Reduce DMR (1)'!$B$30</definedName>
    <definedName name="fbar" localSheetId="7">'Reduce DMR (2)'!$B$30</definedName>
    <definedName name="fbar" localSheetId="1">'Status Quo'!$B$30</definedName>
    <definedName name="fbar">'Proof of Concept'!$B$30</definedName>
    <definedName name="flt1_" localSheetId="2">'Excluders (1)'!$K$18:$AI$18</definedName>
    <definedName name="flt1_" localSheetId="3">'Excluders (2)'!$K$18:$AI$18</definedName>
    <definedName name="flt1_" localSheetId="4">'No Size Limit (1)'!$K$18:$AI$18</definedName>
    <definedName name="flt1_" localSheetId="5">'No Size Limit (2)'!$K$18:$AI$18</definedName>
    <definedName name="flt1_" localSheetId="6">'Reduce DMR (1)'!$K$18:$AI$18</definedName>
    <definedName name="flt1_" localSheetId="7">'Reduce DMR (2)'!$K$18:$AI$18</definedName>
    <definedName name="flt1_" localSheetId="1">'Status Quo'!$K$18:$AI$18</definedName>
    <definedName name="flt1_">'Proof of Concept'!$K$18:$AI$18</definedName>
    <definedName name="flt2_" localSheetId="2">'Excluders (1)'!$K$19:$AI$19</definedName>
    <definedName name="flt2_" localSheetId="3">'Excluders (2)'!$K$19:$AI$19</definedName>
    <definedName name="flt2_" localSheetId="4">'No Size Limit (1)'!$K$19:$AI$19</definedName>
    <definedName name="flt2_" localSheetId="5">'No Size Limit (2)'!$K$19:$AI$19</definedName>
    <definedName name="flt2_" localSheetId="6">'Reduce DMR (1)'!$K$19:$AI$19</definedName>
    <definedName name="flt2_" localSheetId="7">'Reduce DMR (2)'!$K$19:$AI$19</definedName>
    <definedName name="flt2_" localSheetId="1">'Status Quo'!$K$19:$AI$19</definedName>
    <definedName name="flt2_">'Proof of Concept'!$K$19:$AI$19</definedName>
    <definedName name="flt3_" localSheetId="2">'Excluders (1)'!$K$20:$AI$20</definedName>
    <definedName name="flt3_" localSheetId="3">'Excluders (2)'!$K$20:$AI$20</definedName>
    <definedName name="flt3_" localSheetId="4">'No Size Limit (1)'!$K$20:$AI$20</definedName>
    <definedName name="flt3_" localSheetId="5">'No Size Limit (2)'!$K$20:$AI$20</definedName>
    <definedName name="flt3_" localSheetId="6">'Reduce DMR (1)'!$K$20:$AI$20</definedName>
    <definedName name="flt3_" localSheetId="7">'Reduce DMR (2)'!$K$20:$AI$20</definedName>
    <definedName name="flt3_" localSheetId="1">'Status Quo'!$K$20:$AI$20</definedName>
    <definedName name="flt3_">'Proof of Concept'!$K$20:$AI$20</definedName>
    <definedName name="ftotal" localSheetId="2">'Excluders (1)'!$B$31</definedName>
    <definedName name="ftotal" localSheetId="3">'Excluders (2)'!$B$31</definedName>
    <definedName name="ftotal" localSheetId="4">'No Size Limit (1)'!$B$31</definedName>
    <definedName name="ftotal" localSheetId="5">'No Size Limit (2)'!$B$31</definedName>
    <definedName name="ftotal" localSheetId="6">'Reduce DMR (1)'!$B$31</definedName>
    <definedName name="ftotal" localSheetId="7">'Reduce DMR (2)'!$B$31</definedName>
    <definedName name="ftotal" localSheetId="1">'Status Quo'!$B$31</definedName>
    <definedName name="ftotal">#REF!</definedName>
    <definedName name="g" localSheetId="2">'Excluders (1)'!$I$18:$I$20</definedName>
    <definedName name="g" localSheetId="3">'Excluders (2)'!$I$18:$I$20</definedName>
    <definedName name="g" localSheetId="4">'No Size Limit (1)'!$I$18:$I$20</definedName>
    <definedName name="g" localSheetId="5">'No Size Limit (2)'!$I$18:$I$20</definedName>
    <definedName name="g" localSheetId="6">'Reduce DMR (1)'!$I$18:$I$20</definedName>
    <definedName name="g" localSheetId="7">'Reduce DMR (2)'!$I$18:$I$20</definedName>
    <definedName name="g" localSheetId="9">Selectivities!$C$9:$C$13</definedName>
    <definedName name="g" localSheetId="1">'Status Quo'!$I$18:$I$20</definedName>
    <definedName name="g">'Proof of Concept'!$I$18:$I$20</definedName>
    <definedName name="gamma" localSheetId="2">'Excluders (1)'!$I$18:$I$20</definedName>
    <definedName name="gamma" localSheetId="3">'Excluders (2)'!$I$18:$I$20</definedName>
    <definedName name="gamma" localSheetId="4">'No Size Limit (1)'!$I$18:$I$20</definedName>
    <definedName name="gamma" localSheetId="5">'No Size Limit (2)'!$I$18:$I$20</definedName>
    <definedName name="gamma" localSheetId="6">'Reduce DMR (1)'!$I$18:$I$20</definedName>
    <definedName name="gamma" localSheetId="7">'Reduce DMR (2)'!$I$18:$I$20</definedName>
    <definedName name="gamma" localSheetId="1">'Status Quo'!$I$18:$I$20</definedName>
    <definedName name="gamma">'Proof of Concept'!$I$18:$I$20</definedName>
    <definedName name="gh" localSheetId="2">'Excluders (1)'!$H$18:$H$20</definedName>
    <definedName name="gh" localSheetId="3">'Excluders (2)'!$H$18:$H$20</definedName>
    <definedName name="gh" localSheetId="4">'No Size Limit (1)'!$H$18:$H$20</definedName>
    <definedName name="gh" localSheetId="5">'No Size Limit (2)'!$H$18:$H$20</definedName>
    <definedName name="gh" localSheetId="6">'Reduce DMR (1)'!$H$18:$H$20</definedName>
    <definedName name="gh" localSheetId="7">'Reduce DMR (2)'!$H$18:$H$20</definedName>
    <definedName name="gh" localSheetId="9">Selectivities!$B$9:$B$13</definedName>
    <definedName name="gh" localSheetId="1">'Status Quo'!$H$18:$H$20</definedName>
    <definedName name="gh">'Proof of Concept'!$H$18:$H$20</definedName>
    <definedName name="k">SAA!$B$2</definedName>
    <definedName name="len" localSheetId="2">'Excluders (1)'!$K$4:$AI$4</definedName>
    <definedName name="len" localSheetId="3">'Excluders (2)'!$K$4:$AI$4</definedName>
    <definedName name="len" localSheetId="4">'No Size Limit (1)'!$K$4:$AI$4</definedName>
    <definedName name="len" localSheetId="5">'No Size Limit (2)'!$K$4:$AI$4</definedName>
    <definedName name="len" localSheetId="6">'Reduce DMR (1)'!$K$4:$AI$4</definedName>
    <definedName name="len" localSheetId="7">'Reduce DMR (2)'!$K$4:$AI$4</definedName>
    <definedName name="len" localSheetId="1">'Status Quo'!$K$4:$AI$4</definedName>
    <definedName name="len">'Proof of Concept'!$K$4:$AI$4</definedName>
    <definedName name="linf" localSheetId="2">'Excluders (1)'!$B$22</definedName>
    <definedName name="linf" localSheetId="3">'Excluders (2)'!$B$22</definedName>
    <definedName name="linf" localSheetId="4">'No Size Limit (1)'!$B$22</definedName>
    <definedName name="linf" localSheetId="5">'No Size Limit (2)'!$B$22</definedName>
    <definedName name="linf" localSheetId="6">'Reduce DMR (1)'!$B$22</definedName>
    <definedName name="linf" localSheetId="7">'Reduce DMR (2)'!$B$22</definedName>
    <definedName name="linf" localSheetId="1">'Status Quo'!$B$22</definedName>
    <definedName name="linf">'Proof of Concept'!$B$22</definedName>
    <definedName name="lx" localSheetId="2">'Excluders (1)'!$K$6:$AI$6</definedName>
    <definedName name="lx" localSheetId="3">'Excluders (2)'!$K$6:$AI$6</definedName>
    <definedName name="lx" localSheetId="4">'No Size Limit (1)'!$K$6:$AI$6</definedName>
    <definedName name="lx" localSheetId="5">'No Size Limit (2)'!$K$6:$AI$6</definedName>
    <definedName name="lx" localSheetId="6">'Reduce DMR (1)'!$K$6:$AI$6</definedName>
    <definedName name="lx" localSheetId="7">'Reduce DMR (2)'!$K$6:$AI$6</definedName>
    <definedName name="lx" localSheetId="1">'Status Quo'!$K$6:$AI$6</definedName>
    <definedName name="lx">'Proof of Concept'!$K$6:$AI$6</definedName>
    <definedName name="lz" localSheetId="2">'Excluders (1)'!$K$7:$AI$7</definedName>
    <definedName name="lz" localSheetId="3">'Excluders (2)'!$K$7:$AI$7</definedName>
    <definedName name="lz" localSheetId="4">'No Size Limit (1)'!$K$7:$AI$7</definedName>
    <definedName name="lz" localSheetId="5">'No Size Limit (2)'!$K$7:$AI$7</definedName>
    <definedName name="lz" localSheetId="6">'Reduce DMR (1)'!$K$7:$AI$7</definedName>
    <definedName name="lz" localSheetId="7">'Reduce DMR (2)'!$K$7:$AI$7</definedName>
    <definedName name="lz" localSheetId="1">'Status Quo'!$K$7:$AI$7</definedName>
    <definedName name="lz">'Proof of Concept'!$K$7:$AI$7</definedName>
    <definedName name="M" localSheetId="2">'Excluders (1)'!$B$20</definedName>
    <definedName name="M" localSheetId="3">'Excluders (2)'!$B$20</definedName>
    <definedName name="M" localSheetId="4">'No Size Limit (1)'!$B$20</definedName>
    <definedName name="M" localSheetId="5">'No Size Limit (2)'!$B$20</definedName>
    <definedName name="M" localSheetId="6">'Reduce DMR (1)'!$B$20</definedName>
    <definedName name="M" localSheetId="7">'Reduce DMR (2)'!$B$20</definedName>
    <definedName name="M" localSheetId="1">'Status Quo'!$B$20</definedName>
    <definedName name="M">'Proof of Concept'!$B$20</definedName>
    <definedName name="ma" localSheetId="2">'Excluders (1)'!$K$9:$AI$9</definedName>
    <definedName name="ma" localSheetId="3">'Excluders (2)'!$K$9:$AI$9</definedName>
    <definedName name="ma" localSheetId="4">'No Size Limit (1)'!$K$9:$AI$9</definedName>
    <definedName name="ma" localSheetId="5">'No Size Limit (2)'!$K$9:$AI$9</definedName>
    <definedName name="ma" localSheetId="6">'Reduce DMR (1)'!$K$9:$AI$9</definedName>
    <definedName name="ma" localSheetId="7">'Reduce DMR (2)'!$K$9:$AI$9</definedName>
    <definedName name="ma" localSheetId="1">'Status Quo'!$K$9:$AI$9</definedName>
    <definedName name="ma">'Proof of Concept'!$K$9:$AI$9</definedName>
    <definedName name="mpr1_" localSheetId="2">'Excluders (1)'!$B$56</definedName>
    <definedName name="mpr1_" localSheetId="3">'Excluders (2)'!$B$56</definedName>
    <definedName name="mpr1_" localSheetId="4">'No Size Limit (1)'!$B$56</definedName>
    <definedName name="mpr1_" localSheetId="5">'No Size Limit (2)'!$B$56</definedName>
    <definedName name="mpr1_" localSheetId="6">'Reduce DMR (1)'!$B$56</definedName>
    <definedName name="mpr1_" localSheetId="7">'Reduce DMR (2)'!$B$56</definedName>
    <definedName name="mpr1_" localSheetId="1">'Status Quo'!$B$56</definedName>
    <definedName name="mpr1_">'Proof of Concept'!$B$53</definedName>
    <definedName name="mpr2_" localSheetId="2">'Excluders (1)'!$B$57</definedName>
    <definedName name="mpr2_" localSheetId="3">'Excluders (2)'!$B$57</definedName>
    <definedName name="mpr2_" localSheetId="4">'No Size Limit (1)'!$B$57</definedName>
    <definedName name="mpr2_" localSheetId="5">'No Size Limit (2)'!$B$57</definedName>
    <definedName name="mpr2_" localSheetId="6">'Reduce DMR (1)'!$B$57</definedName>
    <definedName name="mpr2_" localSheetId="7">'Reduce DMR (2)'!$B$57</definedName>
    <definedName name="mpr2_" localSheetId="1">'Status Quo'!$B$57</definedName>
    <definedName name="mpr2_">'Proof of Concept'!$B$54</definedName>
    <definedName name="mpr3_" localSheetId="2">'Excluders (1)'!$B$58</definedName>
    <definedName name="mpr3_" localSheetId="3">'Excluders (2)'!$B$58</definedName>
    <definedName name="mpr3_" localSheetId="4">'No Size Limit (1)'!$B$58</definedName>
    <definedName name="mpr3_" localSheetId="5">'No Size Limit (2)'!$B$58</definedName>
    <definedName name="mpr3_" localSheetId="6">'Reduce DMR (1)'!$B$58</definedName>
    <definedName name="mpr3_" localSheetId="7">'Reduce DMR (2)'!$B$58</definedName>
    <definedName name="mpr3_" localSheetId="1">'Status Quo'!$B$58</definedName>
    <definedName name="mpr3_">'Proof of Concept'!$B$55</definedName>
    <definedName name="oa" localSheetId="2">'Excluders (1)'!$K$11:$AI$11</definedName>
    <definedName name="oa" localSheetId="3">'Excluders (2)'!$K$11:$AI$11</definedName>
    <definedName name="oa" localSheetId="4">'No Size Limit (1)'!$K$11:$AI$11</definedName>
    <definedName name="oa" localSheetId="5">'No Size Limit (2)'!$K$11:$AI$11</definedName>
    <definedName name="oa" localSheetId="6">'Reduce DMR (1)'!$K$11:$AI$11</definedName>
    <definedName name="oa" localSheetId="7">'Reduce DMR (2)'!$K$11:$AI$11</definedName>
    <definedName name="oa" localSheetId="1">'Status Quo'!$K$11:$AI$11</definedName>
    <definedName name="oa">'Proof of Concept'!$K$11:$AI$11</definedName>
    <definedName name="phi_q1" localSheetId="2">'Excluders (1)'!$B$39</definedName>
    <definedName name="phi_q1" localSheetId="3">'Excluders (2)'!$B$39</definedName>
    <definedName name="phi_q1" localSheetId="4">'No Size Limit (1)'!$B$39</definedName>
    <definedName name="phi_q1" localSheetId="5">'No Size Limit (2)'!$B$39</definedName>
    <definedName name="phi_q1" localSheetId="6">'Reduce DMR (1)'!$B$39</definedName>
    <definedName name="phi_q1" localSheetId="7">'Reduce DMR (2)'!$B$39</definedName>
    <definedName name="phi_q1" localSheetId="1">'Status Quo'!$B$39</definedName>
    <definedName name="phi_q1">'Proof of Concept'!$B$38</definedName>
    <definedName name="phi_q2" localSheetId="2">'Excluders (1)'!$B$40</definedName>
    <definedName name="phi_q2" localSheetId="3">'Excluders (2)'!$B$40</definedName>
    <definedName name="phi_q2" localSheetId="4">'No Size Limit (1)'!$B$40</definedName>
    <definedName name="phi_q2" localSheetId="5">'No Size Limit (2)'!$B$40</definedName>
    <definedName name="phi_q2" localSheetId="6">'Reduce DMR (1)'!$B$40</definedName>
    <definedName name="phi_q2" localSheetId="7">'Reduce DMR (2)'!$B$40</definedName>
    <definedName name="phi_q2" localSheetId="1">'Status Quo'!$B$40</definedName>
    <definedName name="phi_q2">'Proof of Concept'!$B$39</definedName>
    <definedName name="phi_q3" localSheetId="2">'Excluders (1)'!$B$41</definedName>
    <definedName name="phi_q3" localSheetId="3">'Excluders (2)'!$B$41</definedName>
    <definedName name="phi_q3" localSheetId="4">'No Size Limit (1)'!$B$41</definedName>
    <definedName name="phi_q3" localSheetId="5">'No Size Limit (2)'!$B$41</definedName>
    <definedName name="phi_q3" localSheetId="6">'Reduce DMR (1)'!$B$41</definedName>
    <definedName name="phi_q3" localSheetId="7">'Reduce DMR (2)'!$B$41</definedName>
    <definedName name="phi_q3" localSheetId="1">'Status Quo'!$B$41</definedName>
    <definedName name="phi_q3">'Proof of Concept'!$B$40</definedName>
    <definedName name="phi_t1" localSheetId="2">'Excluders (1)'!$B$36</definedName>
    <definedName name="phi_t1" localSheetId="3">'Excluders (2)'!$B$36</definedName>
    <definedName name="phi_t1" localSheetId="4">'No Size Limit (1)'!$B$36</definedName>
    <definedName name="phi_t1" localSheetId="5">'No Size Limit (2)'!$B$36</definedName>
    <definedName name="phi_t1" localSheetId="6">'Reduce DMR (1)'!$B$36</definedName>
    <definedName name="phi_t1" localSheetId="7">'Reduce DMR (2)'!$B$36</definedName>
    <definedName name="phi_t1" localSheetId="1">'Status Quo'!$B$36</definedName>
    <definedName name="phi_t1">'Proof of Concept'!$B$35</definedName>
    <definedName name="phi_t2" localSheetId="2">'Excluders (1)'!$B$37</definedName>
    <definedName name="phi_t2" localSheetId="3">'Excluders (2)'!$B$37</definedName>
    <definedName name="phi_t2" localSheetId="4">'No Size Limit (1)'!$B$37</definedName>
    <definedName name="phi_t2" localSheetId="5">'No Size Limit (2)'!$B$37</definedName>
    <definedName name="phi_t2" localSheetId="6">'Reduce DMR (1)'!$B$37</definedName>
    <definedName name="phi_t2" localSheetId="7">'Reduce DMR (2)'!$B$37</definedName>
    <definedName name="phi_t2" localSheetId="1">'Status Quo'!$B$37</definedName>
    <definedName name="phi_t2">'Proof of Concept'!$B$36</definedName>
    <definedName name="phi_t3" localSheetId="2">'Excluders (1)'!$B$38</definedName>
    <definedName name="phi_t3" localSheetId="3">'Excluders (2)'!$B$38</definedName>
    <definedName name="phi_t3" localSheetId="4">'No Size Limit (1)'!$B$38</definedName>
    <definedName name="phi_t3" localSheetId="5">'No Size Limit (2)'!$B$38</definedName>
    <definedName name="phi_t3" localSheetId="6">'Reduce DMR (1)'!$B$38</definedName>
    <definedName name="phi_t3" localSheetId="7">'Reduce DMR (2)'!$B$38</definedName>
    <definedName name="phi_t3" localSheetId="1">'Status Quo'!$B$38</definedName>
    <definedName name="phi_t3">'Proof of Concept'!$B$37</definedName>
    <definedName name="phib" localSheetId="3">'Excluders (2)'!$B$33</definedName>
    <definedName name="phib">'Excluders (1)'!$B$33</definedName>
    <definedName name="phie" localSheetId="2">'Excluders (1)'!$B$34</definedName>
    <definedName name="phie" localSheetId="3">'Excluders (2)'!$B$34</definedName>
    <definedName name="phie" localSheetId="4">'No Size Limit (1)'!$B$34</definedName>
    <definedName name="phie" localSheetId="5">'No Size Limit (2)'!$B$34</definedName>
    <definedName name="phie" localSheetId="6">'Reduce DMR (1)'!$B$34</definedName>
    <definedName name="phie" localSheetId="7">'Reduce DMR (2)'!$B$34</definedName>
    <definedName name="phie" localSheetId="1">'Status Quo'!$B$34</definedName>
    <definedName name="phie">'Proof of Concept'!$B$33</definedName>
    <definedName name="phif" localSheetId="2">'Excluders (1)'!$B$35</definedName>
    <definedName name="phif" localSheetId="3">'Excluders (2)'!$B$35</definedName>
    <definedName name="phif" localSheetId="4">'No Size Limit (1)'!$B$35</definedName>
    <definedName name="phif" localSheetId="5">'No Size Limit (2)'!$B$35</definedName>
    <definedName name="phif" localSheetId="6">'Reduce DMR (1)'!$B$35</definedName>
    <definedName name="phif" localSheetId="7">'Reduce DMR (2)'!$B$35</definedName>
    <definedName name="phif" localSheetId="1">'Status Quo'!$B$35</definedName>
    <definedName name="phif">'Proof of Concept'!$B$34</definedName>
    <definedName name="qa1_" localSheetId="2">'Excluders (1)'!$K$22:$AI$22</definedName>
    <definedName name="qa1_" localSheetId="3">'Excluders (2)'!$K$22:$AI$22</definedName>
    <definedName name="qa1_" localSheetId="4">'No Size Limit (1)'!$K$22:$AI$22</definedName>
    <definedName name="qa1_" localSheetId="5">'No Size Limit (2)'!$K$22:$AI$22</definedName>
    <definedName name="qa1_" localSheetId="6">'Reduce DMR (1)'!$K$22:$AI$22</definedName>
    <definedName name="qa1_" localSheetId="7">'Reduce DMR (2)'!$K$22:$AI$22</definedName>
    <definedName name="qa1_" localSheetId="1">'Status Quo'!$K$22:$AI$22</definedName>
    <definedName name="qa1_">'Proof of Concept'!$K$22:$AI$22</definedName>
    <definedName name="qa2_" localSheetId="2">'Excluders (1)'!$K$23:$AI$23</definedName>
    <definedName name="qa2_" localSheetId="3">'Excluders (2)'!$K$23:$AI$23</definedName>
    <definedName name="qa2_" localSheetId="4">'No Size Limit (1)'!$K$23:$AI$23</definedName>
    <definedName name="qa2_" localSheetId="5">'No Size Limit (2)'!$K$23:$AI$23</definedName>
    <definedName name="qa2_" localSheetId="6">'Reduce DMR (1)'!$K$23:$AI$23</definedName>
    <definedName name="qa2_" localSheetId="7">'Reduce DMR (2)'!$K$23:$AI$23</definedName>
    <definedName name="qa2_" localSheetId="1">'Status Quo'!$K$23:$AI$23</definedName>
    <definedName name="qa2_">'Proof of Concept'!$K$23:$AI$23</definedName>
    <definedName name="qa3_" localSheetId="2">'Excluders (1)'!$K$24:$AI$24</definedName>
    <definedName name="qa3_" localSheetId="3">'Excluders (2)'!$K$24:$AI$24</definedName>
    <definedName name="qa3_" localSheetId="4">'No Size Limit (1)'!$K$24:$AI$24</definedName>
    <definedName name="qa3_" localSheetId="5">'No Size Limit (2)'!$K$24:$AI$24</definedName>
    <definedName name="qa3_" localSheetId="6">'Reduce DMR (1)'!$K$24:$AI$24</definedName>
    <definedName name="qa3_" localSheetId="7">'Reduce DMR (2)'!$K$24:$AI$24</definedName>
    <definedName name="qa3_" localSheetId="1">'Status Quo'!$K$24:$AI$24</definedName>
    <definedName name="qa3_">'Proof of Concept'!$K$24:$AI$24</definedName>
    <definedName name="re" localSheetId="2">'Excluders (1)'!$B$47</definedName>
    <definedName name="re" localSheetId="3">'Excluders (2)'!$B$47</definedName>
    <definedName name="re" localSheetId="4">'No Size Limit (1)'!$B$47</definedName>
    <definedName name="re" localSheetId="5">'No Size Limit (2)'!$B$47</definedName>
    <definedName name="re" localSheetId="6">'Reduce DMR (1)'!$B$47</definedName>
    <definedName name="re" localSheetId="7">'Reduce DMR (2)'!$B$47</definedName>
    <definedName name="re" localSheetId="1">'Status Quo'!$B$47</definedName>
    <definedName name="re">'Proof of Concept'!$B$44</definedName>
    <definedName name="reck" localSheetId="2">'Excluders (1)'!$B$19</definedName>
    <definedName name="reck" localSheetId="3">'Excluders (2)'!$B$19</definedName>
    <definedName name="reck" localSheetId="4">'No Size Limit (1)'!$B$19</definedName>
    <definedName name="reck" localSheetId="5">'No Size Limit (2)'!$B$19</definedName>
    <definedName name="reck" localSheetId="6">'Reduce DMR (1)'!$B$19</definedName>
    <definedName name="reck" localSheetId="7">'Reduce DMR (2)'!$B$19</definedName>
    <definedName name="reck" localSheetId="1">'Status Quo'!$B$19</definedName>
    <definedName name="reck">'Proof of Concept'!$B$19</definedName>
    <definedName name="Ro" localSheetId="2">'Excluders (1)'!$B$21</definedName>
    <definedName name="Ro" localSheetId="3">'Excluders (2)'!$B$21</definedName>
    <definedName name="Ro" localSheetId="4">'No Size Limit (1)'!$B$21</definedName>
    <definedName name="Ro" localSheetId="5">'No Size Limit (2)'!$B$21</definedName>
    <definedName name="Ro" localSheetId="6">'Reduce DMR (1)'!$B$21</definedName>
    <definedName name="Ro" localSheetId="7">'Reduce DMR (2)'!$B$21</definedName>
    <definedName name="Ro" localSheetId="1">'Status Quo'!$B$21</definedName>
    <definedName name="Ro">'Proof of Concept'!$B$21</definedName>
    <definedName name="sa" localSheetId="2">'Excluders (1)'!$K$10:$AI$10</definedName>
    <definedName name="sa" localSheetId="3">'Excluders (2)'!$K$10:$AI$10</definedName>
    <definedName name="sa" localSheetId="4">'No Size Limit (1)'!$K$10:$AI$10</definedName>
    <definedName name="sa" localSheetId="5">'No Size Limit (2)'!$K$10:$AI$10</definedName>
    <definedName name="sa" localSheetId="6">'Reduce DMR (1)'!$K$10:$AI$10</definedName>
    <definedName name="sa" localSheetId="7">'Reduce DMR (2)'!$K$10:$AI$10</definedName>
    <definedName name="sa" localSheetId="1">'Status Quo'!$K$10:$AI$10</definedName>
    <definedName name="sa">'Proof of Concept'!$K$10:$AI$10</definedName>
    <definedName name="slim" localSheetId="2">'Excluders (1)'!$E$18:$E$20</definedName>
    <definedName name="slim" localSheetId="3">'Excluders (2)'!$E$18:$E$20</definedName>
    <definedName name="slim" localSheetId="4">'No Size Limit (1)'!$E$18:$E$20</definedName>
    <definedName name="slim" localSheetId="5">'No Size Limit (2)'!$E$18:$E$20</definedName>
    <definedName name="slim" localSheetId="6">'Reduce DMR (1)'!$E$18:$E$20</definedName>
    <definedName name="slim" localSheetId="7">'Reduce DMR (2)'!$E$18:$E$20</definedName>
    <definedName name="slim" localSheetId="1">'Status Quo'!$E$18:$E$20</definedName>
    <definedName name="slim">'Proof of Concept'!$E$18:$E$20</definedName>
    <definedName name="solver_adj" localSheetId="2" hidden="1">'Excluders (1)'!$B$30</definedName>
    <definedName name="solver_adj" localSheetId="3" hidden="1">'Excluders (2)'!$B$30</definedName>
    <definedName name="solver_adj" localSheetId="4" hidden="1">'No Size Limit (1)'!$B$30</definedName>
    <definedName name="solver_adj" localSheetId="5" hidden="1">'No Size Limit (2)'!$B$30</definedName>
    <definedName name="solver_adj" localSheetId="8" hidden="1">'Proof of Concept'!$B$27,'Proof of Concept'!$B$28,'Proof of Concept'!$B$29</definedName>
    <definedName name="solver_adj" localSheetId="6" hidden="1">'Reduce DMR (1)'!$B$30</definedName>
    <definedName name="solver_adj" localSheetId="7" hidden="1">'Reduce DMR (2)'!$B$30</definedName>
    <definedName name="solver_adj" localSheetId="10" hidden="1">SAA!$B$1,SAA!$B$2,SAA!$B$3</definedName>
    <definedName name="solver_adj" localSheetId="9" hidden="1">Selectivities!$A$11:$C$11</definedName>
    <definedName name="solver_adj" localSheetId="1" hidden="1">'Status Quo'!$B$30</definedName>
    <definedName name="solver_cvg" localSheetId="2" hidden="1">0.000001</definedName>
    <definedName name="solver_cvg" localSheetId="3" hidden="1">0.000001</definedName>
    <definedName name="solver_cvg" localSheetId="4" hidden="1">0.000001</definedName>
    <definedName name="solver_cvg" localSheetId="5" hidden="1">0.000001</definedName>
    <definedName name="solver_cvg" localSheetId="8" hidden="1">0.0001</definedName>
    <definedName name="solver_cvg" localSheetId="6" hidden="1">0.000001</definedName>
    <definedName name="solver_cvg" localSheetId="7" hidden="1">0.000001</definedName>
    <definedName name="solver_cvg" localSheetId="10" hidden="1">0.0001</definedName>
    <definedName name="solver_cvg" localSheetId="9" hidden="1">0.0001</definedName>
    <definedName name="solver_cvg" localSheetId="1" hidden="1">0.000001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" hidden="1">2147483647</definedName>
    <definedName name="solver_lhs1" localSheetId="2" hidden="1">'Excluders (1)'!$B$30</definedName>
    <definedName name="solver_lhs1" localSheetId="3" hidden="1">'Excluders (2)'!$B$30</definedName>
    <definedName name="solver_lhs1" localSheetId="4" hidden="1">'No Size Limit (1)'!$B$30</definedName>
    <definedName name="solver_lhs1" localSheetId="5" hidden="1">'No Size Limit (2)'!$B$30</definedName>
    <definedName name="solver_lhs1" localSheetId="6" hidden="1">'Reduce DMR (1)'!$B$30</definedName>
    <definedName name="solver_lhs1" localSheetId="7" hidden="1">'Reduce DMR (2)'!$B$30</definedName>
    <definedName name="solver_lhs1" localSheetId="9" hidden="1">Selectivities!$C$11</definedName>
    <definedName name="solver_lhs1" localSheetId="1" hidden="1">'Status Quo'!$B$30</definedName>
    <definedName name="solver_lhs2" localSheetId="2" hidden="1">'Excluders (1)'!$B$30</definedName>
    <definedName name="solver_lhs2" localSheetId="3" hidden="1">'Excluders (2)'!$B$30</definedName>
    <definedName name="solver_lhs2" localSheetId="4" hidden="1">'No Size Limit (1)'!$B$30</definedName>
    <definedName name="solver_lhs2" localSheetId="5" hidden="1">'No Size Limit (2)'!$B$30</definedName>
    <definedName name="solver_lhs2" localSheetId="6" hidden="1">'Reduce DMR (1)'!$B$30</definedName>
    <definedName name="solver_lhs2" localSheetId="7" hidden="1">'Reduce DMR (2)'!$B$30</definedName>
    <definedName name="solver_lhs2" localSheetId="9" hidden="1">Selectivities!$B$9:$B$13</definedName>
    <definedName name="solver_lhs2" localSheetId="1" hidden="1">'Status Quo'!$B$30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8" hidden="1">2</definedName>
    <definedName name="solver_lin" localSheetId="6" hidden="1">2</definedName>
    <definedName name="solver_lin" localSheetId="7" hidden="1">2</definedName>
    <definedName name="solver_lin" localSheetId="10" hidden="1">2</definedName>
    <definedName name="solver_lin" localSheetId="9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" hidden="1">0.075</definedName>
    <definedName name="solver_msl" localSheetId="2" hidden="1">1</definedName>
    <definedName name="solver_msl" localSheetId="3" hidden="1">1</definedName>
    <definedName name="solver_msl" localSheetId="4" hidden="1">2</definedName>
    <definedName name="solver_msl" localSheetId="5" hidden="1">2</definedName>
    <definedName name="solver_msl" localSheetId="8" hidden="1">2</definedName>
    <definedName name="solver_msl" localSheetId="6" hidden="1">1</definedName>
    <definedName name="solver_msl" localSheetId="7" hidden="1">1</definedName>
    <definedName name="solver_msl" localSheetId="10" hidden="1">2</definedName>
    <definedName name="solver_msl" localSheetId="9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8" hidden="1">0</definedName>
    <definedName name="solver_num" localSheetId="6" hidden="1">0</definedName>
    <definedName name="solver_num" localSheetId="7" hidden="1">0</definedName>
    <definedName name="solver_num" localSheetId="10" hidden="1">0</definedName>
    <definedName name="solver_num" localSheetId="9" hidden="1">1</definedName>
    <definedName name="solver_num" localSheetId="1" hidden="1">0</definedName>
    <definedName name="solver_opt" localSheetId="2" hidden="1">'Excluders (1)'!$C$15</definedName>
    <definedName name="solver_opt" localSheetId="3" hidden="1">'Excluders (2)'!$C$15</definedName>
    <definedName name="solver_opt" localSheetId="4" hidden="1">'No Size Limit (1)'!$C$15</definedName>
    <definedName name="solver_opt" localSheetId="5" hidden="1">'No Size Limit (2)'!$C$15</definedName>
    <definedName name="solver_opt" localSheetId="8" hidden="1">'Proof of Concept'!$C$15</definedName>
    <definedName name="solver_opt" localSheetId="6" hidden="1">'Reduce DMR (1)'!$C$15</definedName>
    <definedName name="solver_opt" localSheetId="7" hidden="1">'Reduce DMR (2)'!$C$15</definedName>
    <definedName name="solver_opt" localSheetId="10" hidden="1">SAA!$B$4</definedName>
    <definedName name="solver_opt" localSheetId="9" hidden="1">Selectivities!$B$4</definedName>
    <definedName name="solver_opt" localSheetId="1" hidden="1">'Status Quo'!$C$15</definedName>
    <definedName name="solver_pre" localSheetId="2" hidden="1">0.000000001</definedName>
    <definedName name="solver_pre" localSheetId="3" hidden="1">0.000000001</definedName>
    <definedName name="solver_pre" localSheetId="4" hidden="1">0.000000001</definedName>
    <definedName name="solver_pre" localSheetId="5" hidden="1">0.000000001</definedName>
    <definedName name="solver_pre" localSheetId="8" hidden="1">0.000000001</definedName>
    <definedName name="solver_pre" localSheetId="6" hidden="1">0.000000001</definedName>
    <definedName name="solver_pre" localSheetId="7" hidden="1">0.000000001</definedName>
    <definedName name="solver_pre" localSheetId="10" hidden="1">0.000001</definedName>
    <definedName name="solver_pre" localSheetId="9" hidden="1">0.000001</definedName>
    <definedName name="solver_pre" localSheetId="1" hidden="1">0.000000001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8" hidden="1">1</definedName>
    <definedName name="solver_rbv" localSheetId="6" hidden="1">2</definedName>
    <definedName name="solver_rbv" localSheetId="7" hidden="1">2</definedName>
    <definedName name="solver_rbv" localSheetId="10" hidden="1">1</definedName>
    <definedName name="solver_rbv" localSheetId="9" hidden="1">1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9" hidden="1">3</definedName>
    <definedName name="solver_rel1" localSheetId="1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9" hidden="1">3</definedName>
    <definedName name="solver_rel2" localSheetId="1" hidden="1">3</definedName>
    <definedName name="solver_rhs1" localSheetId="2" hidden="1">2</definedName>
    <definedName name="solver_rhs1" localSheetId="3" hidden="1">2</definedName>
    <definedName name="solver_rhs1" localSheetId="4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9" hidden="1">0.00001</definedName>
    <definedName name="solver_rhs1" localSheetId="1" hidden="1">2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9" hidden="1">0.001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" hidden="1">2</definedName>
    <definedName name="solver_rsd" localSheetId="2" hidden="1">123</definedName>
    <definedName name="solver_rsd" localSheetId="3" hidden="1">123</definedName>
    <definedName name="solver_rsd" localSheetId="4" hidden="1">123</definedName>
    <definedName name="solver_rsd" localSheetId="5" hidden="1">123</definedName>
    <definedName name="solver_rsd" localSheetId="8" hidden="1">0</definedName>
    <definedName name="solver_rsd" localSheetId="6" hidden="1">123</definedName>
    <definedName name="solver_rsd" localSheetId="7" hidden="1">123</definedName>
    <definedName name="solver_rsd" localSheetId="10" hidden="1">0</definedName>
    <definedName name="solver_rsd" localSheetId="9" hidden="1">0</definedName>
    <definedName name="solver_rsd" localSheetId="1" hidden="1">123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6" hidden="1">2</definedName>
    <definedName name="solver_typ" localSheetId="7" hidden="1">2</definedName>
    <definedName name="solver_typ" localSheetId="10" hidden="1">2</definedName>
    <definedName name="solver_typ" localSheetId="9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8" hidden="1">2</definedName>
    <definedName name="solver_ver" localSheetId="6" hidden="1">2</definedName>
    <definedName name="solver_ver" localSheetId="7" hidden="1">2</definedName>
    <definedName name="solver_ver" localSheetId="10" hidden="1">2</definedName>
    <definedName name="solver_ver" localSheetId="9" hidden="1">2</definedName>
    <definedName name="solver_ver" localSheetId="1" hidden="1">2</definedName>
    <definedName name="spr" localSheetId="2">'Excluders (1)'!$B$46</definedName>
    <definedName name="spr" localSheetId="3">'Excluders (2)'!$B$46</definedName>
    <definedName name="spr" localSheetId="4">'No Size Limit (1)'!$B$46</definedName>
    <definedName name="spr" localSheetId="5">'No Size Limit (2)'!$B$46</definedName>
    <definedName name="spr" localSheetId="6">'Reduce DMR (1)'!$B$46</definedName>
    <definedName name="spr" localSheetId="7">'Reduce DMR (2)'!$B$46</definedName>
    <definedName name="spr" localSheetId="1">'Status Quo'!$B$46</definedName>
    <definedName name="spr">'Proof of Concept'!$B$43</definedName>
    <definedName name="sr" localSheetId="2">'Excluders (1)'!$K$12:$AI$12</definedName>
    <definedName name="sr" localSheetId="3">'Excluders (2)'!$K$12:$AI$12</definedName>
    <definedName name="sr" localSheetId="4">'No Size Limit (1)'!$K$12:$AI$12</definedName>
    <definedName name="sr" localSheetId="5">'No Size Limit (2)'!$K$12:$AI$12</definedName>
    <definedName name="sr" localSheetId="6">'Reduce DMR (1)'!$K$12:$AI$12</definedName>
    <definedName name="sr" localSheetId="7">'Reduce DMR (2)'!$K$12:$AI$12</definedName>
    <definedName name="sr" localSheetId="1">'Status Quo'!$K$12:$AI$12</definedName>
    <definedName name="sr">'Proof of Concept'!$K$12:$AI$12</definedName>
    <definedName name="sr_1" localSheetId="2">'Excluders (1)'!$K$12:$AI$12</definedName>
    <definedName name="sr_1" localSheetId="3">'Excluders (2)'!$K$12:$AI$12</definedName>
    <definedName name="sr_1" localSheetId="4">'No Size Limit (1)'!$K$12:$AI$12</definedName>
    <definedName name="sr_1" localSheetId="5">'No Size Limit (2)'!$K$12:$AI$12</definedName>
    <definedName name="sr_1" localSheetId="6">'Reduce DMR (1)'!$K$12:$AI$12</definedName>
    <definedName name="sr_1" localSheetId="7">'Reduce DMR (2)'!$K$12:$AI$12</definedName>
    <definedName name="sr_1" localSheetId="1">'Status Quo'!$K$12:$AI$12</definedName>
    <definedName name="sr_1">#REF!</definedName>
    <definedName name="sr_2" localSheetId="2">'Excluders (1)'!$K$13:$AI$13</definedName>
    <definedName name="sr_2" localSheetId="3">'Excluders (2)'!$K$13:$AI$13</definedName>
    <definedName name="sr_2" localSheetId="4">'No Size Limit (1)'!$K$13:$AI$13</definedName>
    <definedName name="sr_2" localSheetId="5">'No Size Limit (2)'!$K$13:$AI$13</definedName>
    <definedName name="sr_2" localSheetId="6">'Reduce DMR (1)'!$K$13:$AI$13</definedName>
    <definedName name="sr_2" localSheetId="7">'Reduce DMR (2)'!$K$13:$AI$13</definedName>
    <definedName name="sr_2" localSheetId="1">'Status Quo'!$K$13:$AI$13</definedName>
    <definedName name="sr_2">#REF!</definedName>
    <definedName name="sr_3" localSheetId="2">'Excluders (1)'!$K$14:$AI$14</definedName>
    <definedName name="sr_3" localSheetId="3">'Excluders (2)'!$K$14:$AI$14</definedName>
    <definedName name="sr_3" localSheetId="4">'No Size Limit (1)'!$K$14:$AI$14</definedName>
    <definedName name="sr_3" localSheetId="5">'No Size Limit (2)'!$K$14:$AI$14</definedName>
    <definedName name="sr_3" localSheetId="6">'Reduce DMR (1)'!$K$14:$AI$14</definedName>
    <definedName name="sr_3" localSheetId="7">'Reduce DMR (2)'!$K$14:$AI$14</definedName>
    <definedName name="sr_3" localSheetId="1">'Status Quo'!$K$14:$AI$14</definedName>
    <definedName name="sr_3">#REF!</definedName>
    <definedName name="ta1_" localSheetId="2">'Excluders (1)'!$K$26:$AI$26</definedName>
    <definedName name="ta1_" localSheetId="3">'Excluders (2)'!$K$26:$AI$26</definedName>
    <definedName name="ta1_" localSheetId="4">'No Size Limit (1)'!$K$26:$AI$26</definedName>
    <definedName name="ta1_" localSheetId="5">'No Size Limit (2)'!$K$26:$AI$26</definedName>
    <definedName name="ta1_" localSheetId="6">'Reduce DMR (1)'!$K$26:$AI$26</definedName>
    <definedName name="ta1_" localSheetId="7">'Reduce DMR (2)'!$K$26:$AI$26</definedName>
    <definedName name="ta1_" localSheetId="1">'Status Quo'!$K$26:$AI$26</definedName>
    <definedName name="ta1_">'Proof of Concept'!$K$26:$AI$26</definedName>
    <definedName name="ta2_" localSheetId="2">'Excluders (1)'!$K$27:$AI$27</definedName>
    <definedName name="ta2_" localSheetId="3">'Excluders (2)'!$K$27:$AI$27</definedName>
    <definedName name="ta2_" localSheetId="4">'No Size Limit (1)'!$K$27:$AI$27</definedName>
    <definedName name="ta2_" localSheetId="5">'No Size Limit (2)'!$K$27:$AI$27</definedName>
    <definedName name="ta2_" localSheetId="6">'Reduce DMR (1)'!$K$27:$AI$27</definedName>
    <definedName name="ta2_" localSheetId="7">'Reduce DMR (2)'!$K$27:$AI$27</definedName>
    <definedName name="ta2_" localSheetId="1">'Status Quo'!$K$27:$AI$27</definedName>
    <definedName name="ta2_">'Proof of Concept'!$K$27:$AI$27</definedName>
    <definedName name="ta3_" localSheetId="2">'Excluders (1)'!$K$28:$AI$28</definedName>
    <definedName name="ta3_" localSheetId="3">'Excluders (2)'!$K$28:$AI$28</definedName>
    <definedName name="ta3_" localSheetId="4">'No Size Limit (1)'!$K$28:$AI$28</definedName>
    <definedName name="ta3_" localSheetId="5">'No Size Limit (2)'!$K$28:$AI$28</definedName>
    <definedName name="ta3_" localSheetId="6">'Reduce DMR (1)'!$K$28:$AI$28</definedName>
    <definedName name="ta3_" localSheetId="7">'Reduce DMR (2)'!$K$28:$AI$28</definedName>
    <definedName name="ta3_" localSheetId="1">'Status Quo'!$K$28:$AI$28</definedName>
    <definedName name="ta3_">'Proof of Concept'!$K$28:$AI$28</definedName>
    <definedName name="to" localSheetId="2">'Excluders (1)'!$B$24</definedName>
    <definedName name="to" localSheetId="3">'Excluders (2)'!$B$24</definedName>
    <definedName name="to" localSheetId="4">'No Size Limit (1)'!$B$24</definedName>
    <definedName name="to" localSheetId="5">'No Size Limit (2)'!$B$24</definedName>
    <definedName name="to" localSheetId="6">'Reduce DMR (1)'!$B$24</definedName>
    <definedName name="to" localSheetId="7">'Reduce DMR (2)'!$B$24</definedName>
    <definedName name="to" localSheetId="1">'Status Quo'!$B$24</definedName>
    <definedName name="to">SAA!$B$3</definedName>
    <definedName name="vonbk" localSheetId="2">'Excluders (1)'!$B$23</definedName>
    <definedName name="vonbk" localSheetId="3">'Excluders (2)'!$B$23</definedName>
    <definedName name="vonbk" localSheetId="4">'No Size Limit (1)'!$B$23</definedName>
    <definedName name="vonbk" localSheetId="5">'No Size Limit (2)'!$B$23</definedName>
    <definedName name="vonbk" localSheetId="6">'Reduce DMR (1)'!$B$23</definedName>
    <definedName name="vonbk" localSheetId="7">'Reduce DMR (2)'!$B$23</definedName>
    <definedName name="vonbk" localSheetId="1">'Status Quo'!$B$23</definedName>
    <definedName name="vonbk">'Proof of Concept'!$B$23</definedName>
    <definedName name="wa" localSheetId="2">'Excluders (1)'!$K$5:$AI$5</definedName>
    <definedName name="wa" localSheetId="3">'Excluders (2)'!$K$5:$AI$5</definedName>
    <definedName name="wa" localSheetId="4">'No Size Limit (1)'!$K$5:$AI$5</definedName>
    <definedName name="wa" localSheetId="5">'No Size Limit (2)'!$K$5:$AI$5</definedName>
    <definedName name="wa" localSheetId="6">'Reduce DMR (1)'!$K$5:$AI$5</definedName>
    <definedName name="wa" localSheetId="7">'Reduce DMR (2)'!$K$5:$AI$5</definedName>
    <definedName name="Wa" localSheetId="10">SAA!$D$2:$AG$2</definedName>
    <definedName name="wa" localSheetId="1">'Status Quo'!$K$5:$AI$5</definedName>
    <definedName name="wa">'Proof of Concept'!$K$5:$AI$5</definedName>
    <definedName name="Wa_hat">SAA!$D$3:$AG$3</definedName>
    <definedName name="winf">SAA!$B$1</definedName>
    <definedName name="ye_1" localSheetId="2">'Excluders (1)'!$B$48</definedName>
    <definedName name="ye_1" localSheetId="3">'Excluders (2)'!$B$48</definedName>
    <definedName name="ye_1" localSheetId="4">'No Size Limit (1)'!$B$48</definedName>
    <definedName name="ye_1" localSheetId="5">'No Size Limit (2)'!$B$48</definedName>
    <definedName name="ye_1" localSheetId="6">'Reduce DMR (1)'!$B$48</definedName>
    <definedName name="ye_1" localSheetId="7">'Reduce DMR (2)'!$B$48</definedName>
    <definedName name="ye_1" localSheetId="1">'Status Quo'!$B$48</definedName>
    <definedName name="ye_1">'Proof of Concept'!$B$45</definedName>
    <definedName name="ye_2" localSheetId="2">'Excluders (1)'!$B$49</definedName>
    <definedName name="ye_2" localSheetId="3">'Excluders (2)'!$B$49</definedName>
    <definedName name="ye_2" localSheetId="4">'No Size Limit (1)'!$B$49</definedName>
    <definedName name="ye_2" localSheetId="5">'No Size Limit (2)'!$B$49</definedName>
    <definedName name="ye_2" localSheetId="6">'Reduce DMR (1)'!$B$49</definedName>
    <definedName name="ye_2" localSheetId="7">'Reduce DMR (2)'!$B$49</definedName>
    <definedName name="ye_2" localSheetId="1">'Status Quo'!$B$49</definedName>
    <definedName name="ye_2">'Proof of Concept'!$B$46</definedName>
    <definedName name="ye_3" localSheetId="2">'Excluders (1)'!$B$50</definedName>
    <definedName name="ye_3" localSheetId="3">'Excluders (2)'!$B$50</definedName>
    <definedName name="ye_3" localSheetId="4">'No Size Limit (1)'!$B$50</definedName>
    <definedName name="ye_3" localSheetId="5">'No Size Limit (2)'!$B$50</definedName>
    <definedName name="ye_3" localSheetId="6">'Reduce DMR (1)'!$B$50</definedName>
    <definedName name="ye_3" localSheetId="7">'Reduce DMR (2)'!$B$50</definedName>
    <definedName name="ye_3" localSheetId="1">'Status Quo'!$B$50</definedName>
    <definedName name="ye_3">'Proof of Concept'!$B$47</definedName>
    <definedName name="ypr1" localSheetId="2">'Excluders (1)'!$B$53</definedName>
    <definedName name="ypr1" localSheetId="3">'Excluders (2)'!$B$53</definedName>
    <definedName name="ypr1" localSheetId="4">'No Size Limit (1)'!$B$53</definedName>
    <definedName name="ypr1" localSheetId="5">'No Size Limit (2)'!$B$53</definedName>
    <definedName name="ypr1" localSheetId="6">'Reduce DMR (1)'!$B$53</definedName>
    <definedName name="ypr1" localSheetId="7">'Reduce DMR (2)'!$B$53</definedName>
    <definedName name="ypr1" localSheetId="1">'Status Quo'!$B$53</definedName>
    <definedName name="ypr1">'Proof of Concept'!$B$50</definedName>
    <definedName name="ypr2" localSheetId="2">'Excluders (1)'!$B$54</definedName>
    <definedName name="ypr2" localSheetId="3">'Excluders (2)'!$B$54</definedName>
    <definedName name="ypr2" localSheetId="4">'No Size Limit (1)'!$B$54</definedName>
    <definedName name="ypr2" localSheetId="5">'No Size Limit (2)'!$B$54</definedName>
    <definedName name="ypr2" localSheetId="6">'Reduce DMR (1)'!$B$54</definedName>
    <definedName name="ypr2" localSheetId="7">'Reduce DMR (2)'!$B$54</definedName>
    <definedName name="ypr2" localSheetId="1">'Status Quo'!$B$54</definedName>
    <definedName name="ypr2">'Proof of Concept'!$B$51</definedName>
    <definedName name="ypr3" localSheetId="2">'Excluders (1)'!$B$55</definedName>
    <definedName name="ypr3" localSheetId="3">'Excluders (2)'!$B$55</definedName>
    <definedName name="ypr3" localSheetId="4">'No Size Limit (1)'!$B$55</definedName>
    <definedName name="ypr3" localSheetId="5">'No Size Limit (2)'!$B$55</definedName>
    <definedName name="ypr3" localSheetId="6">'Reduce DMR (1)'!$B$55</definedName>
    <definedName name="ypr3" localSheetId="7">'Reduce DMR (2)'!$B$55</definedName>
    <definedName name="ypr3" localSheetId="1">'Status Quo'!$B$55</definedName>
    <definedName name="ypr3">'Proof of Concept'!$B$52</definedName>
    <definedName name="za" localSheetId="2">'Excluders (1)'!$K$8:$AI$8</definedName>
    <definedName name="za" localSheetId="3">'Excluders (2)'!$K$8:$AI$8</definedName>
    <definedName name="za" localSheetId="4">'No Size Limit (1)'!$K$8:$AI$8</definedName>
    <definedName name="za" localSheetId="5">'No Size Limit (2)'!$K$8:$AI$8</definedName>
    <definedName name="za" localSheetId="6">'Reduce DMR (1)'!$K$8:$AI$8</definedName>
    <definedName name="za" localSheetId="7">'Reduce DMR (2)'!$K$8:$AI$8</definedName>
    <definedName name="za" localSheetId="1">'Status Quo'!$K$8:$AI$8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8" i="6" l="1"/>
  <c r="K22" i="6"/>
  <c r="K16" i="6"/>
  <c r="K10" i="6"/>
  <c r="B13" i="12"/>
  <c r="K7" i="12"/>
  <c r="B22" i="12"/>
  <c r="K4" i="12"/>
  <c r="K5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4" i="12"/>
  <c r="AI12" i="12"/>
  <c r="AI18" i="12"/>
  <c r="AI5" i="12"/>
  <c r="AH4" i="12"/>
  <c r="AH12" i="12"/>
  <c r="AH18" i="12"/>
  <c r="AH5" i="12"/>
  <c r="AG4" i="12"/>
  <c r="AG12" i="12"/>
  <c r="AG18" i="12"/>
  <c r="AG5" i="12"/>
  <c r="AF4" i="12"/>
  <c r="AF12" i="12"/>
  <c r="AF18" i="12"/>
  <c r="AF5" i="12"/>
  <c r="AE4" i="12"/>
  <c r="AE12" i="12"/>
  <c r="AE18" i="12"/>
  <c r="AE5" i="12"/>
  <c r="AD4" i="12"/>
  <c r="AD12" i="12"/>
  <c r="AD18" i="12"/>
  <c r="AD5" i="12"/>
  <c r="AC4" i="12"/>
  <c r="AC12" i="12"/>
  <c r="AC18" i="12"/>
  <c r="AC5" i="12"/>
  <c r="AB4" i="12"/>
  <c r="AB12" i="12"/>
  <c r="AB18" i="12"/>
  <c r="AB5" i="12"/>
  <c r="AA4" i="12"/>
  <c r="AA12" i="12"/>
  <c r="AA18" i="12"/>
  <c r="AA5" i="12"/>
  <c r="Z4" i="12"/>
  <c r="Z12" i="12"/>
  <c r="Z18" i="12"/>
  <c r="Z5" i="12"/>
  <c r="Y4" i="12"/>
  <c r="Y12" i="12"/>
  <c r="Y18" i="12"/>
  <c r="Y5" i="12"/>
  <c r="X4" i="12"/>
  <c r="X12" i="12"/>
  <c r="X18" i="12"/>
  <c r="X5" i="12"/>
  <c r="W4" i="12"/>
  <c r="W12" i="12"/>
  <c r="W18" i="12"/>
  <c r="W5" i="12"/>
  <c r="V4" i="12"/>
  <c r="V12" i="12"/>
  <c r="V18" i="12"/>
  <c r="V5" i="12"/>
  <c r="U4" i="12"/>
  <c r="U12" i="12"/>
  <c r="U18" i="12"/>
  <c r="U5" i="12"/>
  <c r="T4" i="12"/>
  <c r="T12" i="12"/>
  <c r="T18" i="12"/>
  <c r="T5" i="12"/>
  <c r="S4" i="12"/>
  <c r="S12" i="12"/>
  <c r="S18" i="12"/>
  <c r="S5" i="12"/>
  <c r="R4" i="12"/>
  <c r="R12" i="12"/>
  <c r="R18" i="12"/>
  <c r="R5" i="12"/>
  <c r="Q4" i="12"/>
  <c r="Q12" i="12"/>
  <c r="Q18" i="12"/>
  <c r="Q5" i="12"/>
  <c r="P4" i="12"/>
  <c r="P12" i="12"/>
  <c r="P18" i="12"/>
  <c r="P5" i="12"/>
  <c r="O4" i="12"/>
  <c r="O12" i="12"/>
  <c r="O18" i="12"/>
  <c r="O5" i="12"/>
  <c r="N4" i="12"/>
  <c r="N12" i="12"/>
  <c r="N18" i="12"/>
  <c r="N5" i="12"/>
  <c r="M4" i="12"/>
  <c r="M12" i="12"/>
  <c r="M18" i="12"/>
  <c r="M5" i="12"/>
  <c r="L4" i="12"/>
  <c r="L12" i="12"/>
  <c r="L18" i="12"/>
  <c r="L5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B22" i="11"/>
  <c r="K4" i="11"/>
  <c r="K5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4" i="11"/>
  <c r="AI12" i="11"/>
  <c r="AI18" i="11"/>
  <c r="AI5" i="11"/>
  <c r="AH4" i="11"/>
  <c r="AH12" i="11"/>
  <c r="AH18" i="11"/>
  <c r="AH5" i="11"/>
  <c r="AG4" i="11"/>
  <c r="AG12" i="11"/>
  <c r="AG18" i="11"/>
  <c r="AG5" i="11"/>
  <c r="AF4" i="11"/>
  <c r="AF12" i="11"/>
  <c r="AF18" i="11"/>
  <c r="AF5" i="11"/>
  <c r="AE4" i="11"/>
  <c r="AE12" i="11"/>
  <c r="AE18" i="11"/>
  <c r="AE5" i="11"/>
  <c r="AD4" i="11"/>
  <c r="AD12" i="11"/>
  <c r="AD18" i="11"/>
  <c r="AD5" i="11"/>
  <c r="AC4" i="11"/>
  <c r="AC12" i="11"/>
  <c r="AC18" i="11"/>
  <c r="AC5" i="11"/>
  <c r="AB4" i="11"/>
  <c r="AB12" i="11"/>
  <c r="AB18" i="11"/>
  <c r="AB5" i="11"/>
  <c r="AA4" i="11"/>
  <c r="AA12" i="11"/>
  <c r="AA18" i="11"/>
  <c r="AA5" i="11"/>
  <c r="Z4" i="11"/>
  <c r="Z12" i="11"/>
  <c r="Z18" i="11"/>
  <c r="Z5" i="11"/>
  <c r="Y4" i="11"/>
  <c r="Y12" i="11"/>
  <c r="Y18" i="11"/>
  <c r="Y5" i="11"/>
  <c r="X4" i="11"/>
  <c r="X12" i="11"/>
  <c r="X18" i="11"/>
  <c r="X5" i="11"/>
  <c r="W4" i="11"/>
  <c r="W12" i="11"/>
  <c r="W18" i="11"/>
  <c r="W5" i="11"/>
  <c r="V4" i="11"/>
  <c r="V12" i="11"/>
  <c r="V18" i="11"/>
  <c r="V5" i="11"/>
  <c r="U4" i="11"/>
  <c r="U12" i="11"/>
  <c r="U18" i="11"/>
  <c r="U5" i="11"/>
  <c r="T4" i="11"/>
  <c r="T12" i="11"/>
  <c r="T18" i="11"/>
  <c r="T5" i="11"/>
  <c r="S4" i="11"/>
  <c r="S12" i="11"/>
  <c r="S18" i="11"/>
  <c r="S5" i="11"/>
  <c r="R4" i="11"/>
  <c r="R12" i="11"/>
  <c r="R18" i="11"/>
  <c r="R5" i="11"/>
  <c r="Q4" i="11"/>
  <c r="Q12" i="11"/>
  <c r="Q18" i="11"/>
  <c r="Q5" i="11"/>
  <c r="P4" i="11"/>
  <c r="P12" i="11"/>
  <c r="P18" i="11"/>
  <c r="P5" i="11"/>
  <c r="O4" i="11"/>
  <c r="O12" i="11"/>
  <c r="O18" i="11"/>
  <c r="O5" i="11"/>
  <c r="N4" i="11"/>
  <c r="N12" i="11"/>
  <c r="N18" i="11"/>
  <c r="N5" i="11"/>
  <c r="M4" i="11"/>
  <c r="M12" i="11"/>
  <c r="M18" i="11"/>
  <c r="M5" i="11"/>
  <c r="L4" i="11"/>
  <c r="L12" i="11"/>
  <c r="L18" i="11"/>
  <c r="L5" i="11"/>
  <c r="B13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28" i="6"/>
  <c r="J22" i="6"/>
  <c r="J16" i="6"/>
  <c r="J10" i="6"/>
  <c r="I28" i="6"/>
  <c r="I22" i="6"/>
  <c r="I16" i="6"/>
  <c r="I10" i="6"/>
  <c r="B6" i="10"/>
  <c r="B5" i="10"/>
  <c r="B4" i="10"/>
  <c r="K7" i="10"/>
  <c r="B22" i="10"/>
  <c r="K4" i="10"/>
  <c r="K5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4" i="10"/>
  <c r="AI12" i="10"/>
  <c r="AI18" i="10"/>
  <c r="AI5" i="10"/>
  <c r="AH4" i="10"/>
  <c r="AH12" i="10"/>
  <c r="AH18" i="10"/>
  <c r="AH5" i="10"/>
  <c r="AG4" i="10"/>
  <c r="AG12" i="10"/>
  <c r="AG18" i="10"/>
  <c r="AG5" i="10"/>
  <c r="AF4" i="10"/>
  <c r="AF12" i="10"/>
  <c r="AF18" i="10"/>
  <c r="AF5" i="10"/>
  <c r="AE4" i="10"/>
  <c r="AE12" i="10"/>
  <c r="AE18" i="10"/>
  <c r="AE5" i="10"/>
  <c r="AD4" i="10"/>
  <c r="AD12" i="10"/>
  <c r="AD18" i="10"/>
  <c r="AD5" i="10"/>
  <c r="AC4" i="10"/>
  <c r="AC12" i="10"/>
  <c r="AC18" i="10"/>
  <c r="AC5" i="10"/>
  <c r="AB4" i="10"/>
  <c r="AB12" i="10"/>
  <c r="AB18" i="10"/>
  <c r="AB5" i="10"/>
  <c r="AA4" i="10"/>
  <c r="AA12" i="10"/>
  <c r="AA18" i="10"/>
  <c r="AA5" i="10"/>
  <c r="Z4" i="10"/>
  <c r="Z12" i="10"/>
  <c r="Z18" i="10"/>
  <c r="Z5" i="10"/>
  <c r="Y4" i="10"/>
  <c r="Y12" i="10"/>
  <c r="Y18" i="10"/>
  <c r="Y5" i="10"/>
  <c r="X4" i="10"/>
  <c r="X12" i="10"/>
  <c r="X18" i="10"/>
  <c r="X5" i="10"/>
  <c r="W4" i="10"/>
  <c r="W12" i="10"/>
  <c r="W18" i="10"/>
  <c r="W5" i="10"/>
  <c r="V4" i="10"/>
  <c r="V12" i="10"/>
  <c r="V18" i="10"/>
  <c r="V5" i="10"/>
  <c r="U4" i="10"/>
  <c r="U12" i="10"/>
  <c r="U18" i="10"/>
  <c r="U5" i="10"/>
  <c r="T4" i="10"/>
  <c r="T12" i="10"/>
  <c r="T18" i="10"/>
  <c r="T5" i="10"/>
  <c r="S4" i="10"/>
  <c r="S12" i="10"/>
  <c r="S18" i="10"/>
  <c r="S5" i="10"/>
  <c r="R4" i="10"/>
  <c r="R12" i="10"/>
  <c r="R18" i="10"/>
  <c r="R5" i="10"/>
  <c r="Q4" i="10"/>
  <c r="Q12" i="10"/>
  <c r="Q18" i="10"/>
  <c r="Q5" i="10"/>
  <c r="P4" i="10"/>
  <c r="P12" i="10"/>
  <c r="P18" i="10"/>
  <c r="P5" i="10"/>
  <c r="O4" i="10"/>
  <c r="O12" i="10"/>
  <c r="O18" i="10"/>
  <c r="O5" i="10"/>
  <c r="N4" i="10"/>
  <c r="N12" i="10"/>
  <c r="N18" i="10"/>
  <c r="N5" i="10"/>
  <c r="M4" i="10"/>
  <c r="M12" i="10"/>
  <c r="M18" i="10"/>
  <c r="M5" i="10"/>
  <c r="L4" i="10"/>
  <c r="L12" i="10"/>
  <c r="L18" i="10"/>
  <c r="L5" i="10"/>
  <c r="B13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28" i="6"/>
  <c r="E22" i="6"/>
  <c r="E16" i="6"/>
  <c r="E10" i="6"/>
  <c r="D28" i="6"/>
  <c r="D22" i="6"/>
  <c r="D16" i="6"/>
  <c r="D10" i="6"/>
  <c r="F28" i="6"/>
  <c r="F22" i="6"/>
  <c r="F16" i="6"/>
  <c r="F10" i="6"/>
  <c r="B6" i="9"/>
  <c r="B5" i="9"/>
  <c r="B4" i="9"/>
  <c r="K7" i="9"/>
  <c r="B22" i="9"/>
  <c r="K4" i="9"/>
  <c r="K5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4" i="9"/>
  <c r="AI12" i="9"/>
  <c r="AI18" i="9"/>
  <c r="AI5" i="9"/>
  <c r="AH4" i="9"/>
  <c r="AH12" i="9"/>
  <c r="AH18" i="9"/>
  <c r="AH5" i="9"/>
  <c r="AG4" i="9"/>
  <c r="AG12" i="9"/>
  <c r="AG18" i="9"/>
  <c r="AG5" i="9"/>
  <c r="AF4" i="9"/>
  <c r="AF12" i="9"/>
  <c r="AF18" i="9"/>
  <c r="AF5" i="9"/>
  <c r="AE4" i="9"/>
  <c r="AE12" i="9"/>
  <c r="AE18" i="9"/>
  <c r="AE5" i="9"/>
  <c r="AD4" i="9"/>
  <c r="AD12" i="9"/>
  <c r="AD18" i="9"/>
  <c r="AD5" i="9"/>
  <c r="AC4" i="9"/>
  <c r="AC12" i="9"/>
  <c r="AC18" i="9"/>
  <c r="AC5" i="9"/>
  <c r="AB4" i="9"/>
  <c r="AB12" i="9"/>
  <c r="AB18" i="9"/>
  <c r="AB5" i="9"/>
  <c r="AA4" i="9"/>
  <c r="AA12" i="9"/>
  <c r="AA18" i="9"/>
  <c r="AA5" i="9"/>
  <c r="Z4" i="9"/>
  <c r="Z12" i="9"/>
  <c r="Z18" i="9"/>
  <c r="Z5" i="9"/>
  <c r="Y4" i="9"/>
  <c r="Y12" i="9"/>
  <c r="Y18" i="9"/>
  <c r="Y5" i="9"/>
  <c r="X4" i="9"/>
  <c r="X12" i="9"/>
  <c r="X18" i="9"/>
  <c r="X5" i="9"/>
  <c r="W4" i="9"/>
  <c r="W12" i="9"/>
  <c r="W18" i="9"/>
  <c r="W5" i="9"/>
  <c r="V4" i="9"/>
  <c r="V12" i="9"/>
  <c r="V18" i="9"/>
  <c r="V5" i="9"/>
  <c r="U4" i="9"/>
  <c r="U12" i="9"/>
  <c r="U18" i="9"/>
  <c r="U5" i="9"/>
  <c r="T4" i="9"/>
  <c r="T12" i="9"/>
  <c r="T18" i="9"/>
  <c r="T5" i="9"/>
  <c r="S4" i="9"/>
  <c r="S12" i="9"/>
  <c r="S18" i="9"/>
  <c r="S5" i="9"/>
  <c r="R4" i="9"/>
  <c r="R12" i="9"/>
  <c r="R18" i="9"/>
  <c r="R5" i="9"/>
  <c r="Q4" i="9"/>
  <c r="Q12" i="9"/>
  <c r="Q18" i="9"/>
  <c r="Q5" i="9"/>
  <c r="P4" i="9"/>
  <c r="P12" i="9"/>
  <c r="P18" i="9"/>
  <c r="P5" i="9"/>
  <c r="O4" i="9"/>
  <c r="O12" i="9"/>
  <c r="O18" i="9"/>
  <c r="O5" i="9"/>
  <c r="N4" i="9"/>
  <c r="N12" i="9"/>
  <c r="N18" i="9"/>
  <c r="N5" i="9"/>
  <c r="M4" i="9"/>
  <c r="M12" i="9"/>
  <c r="M18" i="9"/>
  <c r="M5" i="9"/>
  <c r="L4" i="9"/>
  <c r="L12" i="9"/>
  <c r="L18" i="9"/>
  <c r="L5" i="9"/>
  <c r="B13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B22" i="8"/>
  <c r="K4" i="8"/>
  <c r="K5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4" i="8"/>
  <c r="AI12" i="8"/>
  <c r="AI18" i="8"/>
  <c r="AI5" i="8"/>
  <c r="AH4" i="8"/>
  <c r="AH12" i="8"/>
  <c r="AH18" i="8"/>
  <c r="AH5" i="8"/>
  <c r="AG4" i="8"/>
  <c r="AG12" i="8"/>
  <c r="AG18" i="8"/>
  <c r="AG5" i="8"/>
  <c r="AF4" i="8"/>
  <c r="AF12" i="8"/>
  <c r="AF18" i="8"/>
  <c r="AF5" i="8"/>
  <c r="AE4" i="8"/>
  <c r="AE12" i="8"/>
  <c r="AE18" i="8"/>
  <c r="AE5" i="8"/>
  <c r="AD4" i="8"/>
  <c r="AD12" i="8"/>
  <c r="AD18" i="8"/>
  <c r="AD5" i="8"/>
  <c r="AC4" i="8"/>
  <c r="AC12" i="8"/>
  <c r="AC18" i="8"/>
  <c r="AC5" i="8"/>
  <c r="AB4" i="8"/>
  <c r="AB12" i="8"/>
  <c r="AB18" i="8"/>
  <c r="AB5" i="8"/>
  <c r="AA4" i="8"/>
  <c r="AA12" i="8"/>
  <c r="AA18" i="8"/>
  <c r="AA5" i="8"/>
  <c r="Z4" i="8"/>
  <c r="Z12" i="8"/>
  <c r="Z18" i="8"/>
  <c r="Z5" i="8"/>
  <c r="Y4" i="8"/>
  <c r="Y12" i="8"/>
  <c r="Y18" i="8"/>
  <c r="Y5" i="8"/>
  <c r="X4" i="8"/>
  <c r="X12" i="8"/>
  <c r="X18" i="8"/>
  <c r="X5" i="8"/>
  <c r="W4" i="8"/>
  <c r="W12" i="8"/>
  <c r="W18" i="8"/>
  <c r="W5" i="8"/>
  <c r="V4" i="8"/>
  <c r="V12" i="8"/>
  <c r="V18" i="8"/>
  <c r="V5" i="8"/>
  <c r="U4" i="8"/>
  <c r="U12" i="8"/>
  <c r="U18" i="8"/>
  <c r="U5" i="8"/>
  <c r="T4" i="8"/>
  <c r="T12" i="8"/>
  <c r="T18" i="8"/>
  <c r="T5" i="8"/>
  <c r="S4" i="8"/>
  <c r="S12" i="8"/>
  <c r="S18" i="8"/>
  <c r="S5" i="8"/>
  <c r="R4" i="8"/>
  <c r="R12" i="8"/>
  <c r="R18" i="8"/>
  <c r="R5" i="8"/>
  <c r="Q4" i="8"/>
  <c r="Q12" i="8"/>
  <c r="Q18" i="8"/>
  <c r="Q5" i="8"/>
  <c r="P4" i="8"/>
  <c r="P12" i="8"/>
  <c r="P18" i="8"/>
  <c r="P5" i="8"/>
  <c r="O4" i="8"/>
  <c r="O12" i="8"/>
  <c r="O18" i="8"/>
  <c r="O5" i="8"/>
  <c r="N4" i="8"/>
  <c r="N12" i="8"/>
  <c r="N18" i="8"/>
  <c r="N5" i="8"/>
  <c r="M4" i="8"/>
  <c r="M12" i="8"/>
  <c r="M18" i="8"/>
  <c r="M5" i="8"/>
  <c r="L4" i="8"/>
  <c r="L12" i="8"/>
  <c r="L18" i="8"/>
  <c r="L5" i="8"/>
  <c r="B13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B22" i="7"/>
  <c r="K4" i="7"/>
  <c r="K5" i="7"/>
  <c r="I20" i="7"/>
  <c r="G20" i="7"/>
  <c r="H20" i="7"/>
  <c r="K12" i="7"/>
  <c r="K20" i="7"/>
  <c r="G19" i="7"/>
  <c r="H19" i="7"/>
  <c r="K19" i="7"/>
  <c r="I18" i="7"/>
  <c r="G18" i="7"/>
  <c r="H18" i="7"/>
  <c r="K18" i="7"/>
  <c r="AI4" i="7"/>
  <c r="AI12" i="7"/>
  <c r="AI18" i="7"/>
  <c r="AI5" i="7"/>
  <c r="AH4" i="7"/>
  <c r="AH12" i="7"/>
  <c r="AH18" i="7"/>
  <c r="AH5" i="7"/>
  <c r="AG4" i="7"/>
  <c r="AG12" i="7"/>
  <c r="AG18" i="7"/>
  <c r="AG5" i="7"/>
  <c r="AF4" i="7"/>
  <c r="AF12" i="7"/>
  <c r="AF18" i="7"/>
  <c r="AF5" i="7"/>
  <c r="AE4" i="7"/>
  <c r="AE12" i="7"/>
  <c r="AE18" i="7"/>
  <c r="AE5" i="7"/>
  <c r="AD4" i="7"/>
  <c r="AD12" i="7"/>
  <c r="AD18" i="7"/>
  <c r="AD5" i="7"/>
  <c r="AC4" i="7"/>
  <c r="AC12" i="7"/>
  <c r="AC18" i="7"/>
  <c r="AC5" i="7"/>
  <c r="AB4" i="7"/>
  <c r="AB12" i="7"/>
  <c r="AB18" i="7"/>
  <c r="AB5" i="7"/>
  <c r="AA4" i="7"/>
  <c r="AA12" i="7"/>
  <c r="AA18" i="7"/>
  <c r="AA5" i="7"/>
  <c r="Z4" i="7"/>
  <c r="Z12" i="7"/>
  <c r="Z18" i="7"/>
  <c r="Z5" i="7"/>
  <c r="Y4" i="7"/>
  <c r="Y12" i="7"/>
  <c r="Y18" i="7"/>
  <c r="Y5" i="7"/>
  <c r="X4" i="7"/>
  <c r="X12" i="7"/>
  <c r="X18" i="7"/>
  <c r="X5" i="7"/>
  <c r="W4" i="7"/>
  <c r="W12" i="7"/>
  <c r="W18" i="7"/>
  <c r="W5" i="7"/>
  <c r="V4" i="7"/>
  <c r="V12" i="7"/>
  <c r="V18" i="7"/>
  <c r="V5" i="7"/>
  <c r="U4" i="7"/>
  <c r="U12" i="7"/>
  <c r="U18" i="7"/>
  <c r="U5" i="7"/>
  <c r="T4" i="7"/>
  <c r="T12" i="7"/>
  <c r="T18" i="7"/>
  <c r="T5" i="7"/>
  <c r="S4" i="7"/>
  <c r="S12" i="7"/>
  <c r="S18" i="7"/>
  <c r="S5" i="7"/>
  <c r="R4" i="7"/>
  <c r="R12" i="7"/>
  <c r="R18" i="7"/>
  <c r="R5" i="7"/>
  <c r="Q4" i="7"/>
  <c r="Q12" i="7"/>
  <c r="Q18" i="7"/>
  <c r="Q5" i="7"/>
  <c r="P4" i="7"/>
  <c r="P12" i="7"/>
  <c r="P18" i="7"/>
  <c r="P5" i="7"/>
  <c r="O4" i="7"/>
  <c r="O12" i="7"/>
  <c r="O18" i="7"/>
  <c r="O5" i="7"/>
  <c r="N4" i="7"/>
  <c r="N12" i="7"/>
  <c r="N18" i="7"/>
  <c r="N5" i="7"/>
  <c r="M4" i="7"/>
  <c r="M12" i="7"/>
  <c r="M18" i="7"/>
  <c r="M5" i="7"/>
  <c r="L4" i="7"/>
  <c r="L12" i="7"/>
  <c r="L18" i="7"/>
  <c r="L5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B13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B22" i="3"/>
  <c r="Y4" i="3"/>
  <c r="Y13" i="3"/>
  <c r="I19" i="3"/>
  <c r="G19" i="3"/>
  <c r="H19" i="3"/>
  <c r="Y19" i="3"/>
  <c r="Z19" i="3"/>
  <c r="AA19" i="3"/>
  <c r="AB19" i="3"/>
  <c r="AC19" i="3"/>
  <c r="AD19" i="3"/>
  <c r="AE19" i="3"/>
  <c r="AF19" i="3"/>
  <c r="AG19" i="3"/>
  <c r="AH19" i="3"/>
  <c r="AI19" i="3"/>
  <c r="Y14" i="3"/>
  <c r="I20" i="3"/>
  <c r="G20" i="3"/>
  <c r="H20" i="3"/>
  <c r="Y20" i="3"/>
  <c r="Z20" i="3"/>
  <c r="AA20" i="3"/>
  <c r="AB20" i="3"/>
  <c r="AC20" i="3"/>
  <c r="AD20" i="3"/>
  <c r="AE20" i="3"/>
  <c r="AF20" i="3"/>
  <c r="AG20" i="3"/>
  <c r="AH20" i="3"/>
  <c r="AI20" i="3"/>
  <c r="L4" i="3"/>
  <c r="M4" i="3"/>
  <c r="N4" i="3"/>
  <c r="O4" i="3"/>
  <c r="P4" i="3"/>
  <c r="Q4" i="3"/>
  <c r="R4" i="3"/>
  <c r="S4" i="3"/>
  <c r="T4" i="3"/>
  <c r="U4" i="3"/>
  <c r="V4" i="3"/>
  <c r="W4" i="3"/>
  <c r="X4" i="3"/>
  <c r="Z4" i="3"/>
  <c r="AA4" i="3"/>
  <c r="AB4" i="3"/>
  <c r="AC4" i="3"/>
  <c r="AD4" i="3"/>
  <c r="AE4" i="3"/>
  <c r="AF4" i="3"/>
  <c r="AG4" i="3"/>
  <c r="AH4" i="3"/>
  <c r="AI4" i="3"/>
  <c r="K4" i="3"/>
  <c r="B5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D3" i="5"/>
  <c r="B13" i="3"/>
  <c r="K12" i="3"/>
  <c r="I18" i="3"/>
  <c r="G18" i="3"/>
  <c r="H18" i="3"/>
  <c r="K18" i="3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E11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F10" i="4"/>
  <c r="G10" i="4"/>
  <c r="H10" i="4"/>
  <c r="I10" i="4"/>
  <c r="J10" i="4"/>
  <c r="K10" i="4"/>
  <c r="L10" i="4"/>
  <c r="M10" i="4"/>
  <c r="N10" i="4"/>
  <c r="O10" i="4"/>
  <c r="P10" i="4"/>
  <c r="Q10" i="4"/>
  <c r="E10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E9" i="4"/>
  <c r="B23" i="1"/>
  <c r="K4" i="1"/>
  <c r="K12" i="1"/>
  <c r="K18" i="1"/>
  <c r="B6" i="3"/>
  <c r="B5" i="3"/>
  <c r="B4" i="3"/>
  <c r="K7" i="3"/>
  <c r="K5" i="3"/>
  <c r="K20" i="3"/>
  <c r="K19" i="3"/>
  <c r="AI12" i="3"/>
  <c r="AI18" i="3"/>
  <c r="AI5" i="3"/>
  <c r="AH12" i="3"/>
  <c r="AH18" i="3"/>
  <c r="AH5" i="3"/>
  <c r="AG12" i="3"/>
  <c r="AG18" i="3"/>
  <c r="AG5" i="3"/>
  <c r="AF12" i="3"/>
  <c r="AF18" i="3"/>
  <c r="AF5" i="3"/>
  <c r="AE12" i="3"/>
  <c r="AE18" i="3"/>
  <c r="AE5" i="3"/>
  <c r="AD12" i="3"/>
  <c r="AD18" i="3"/>
  <c r="AD5" i="3"/>
  <c r="AC12" i="3"/>
  <c r="AC18" i="3"/>
  <c r="AC5" i="3"/>
  <c r="AB12" i="3"/>
  <c r="AB18" i="3"/>
  <c r="AB5" i="3"/>
  <c r="AA12" i="3"/>
  <c r="AA18" i="3"/>
  <c r="AA5" i="3"/>
  <c r="Z12" i="3"/>
  <c r="Z18" i="3"/>
  <c r="Z5" i="3"/>
  <c r="Y12" i="3"/>
  <c r="Y18" i="3"/>
  <c r="Y5" i="3"/>
  <c r="X12" i="3"/>
  <c r="X18" i="3"/>
  <c r="X5" i="3"/>
  <c r="W12" i="3"/>
  <c r="W18" i="3"/>
  <c r="W5" i="3"/>
  <c r="V12" i="3"/>
  <c r="V18" i="3"/>
  <c r="V5" i="3"/>
  <c r="U12" i="3"/>
  <c r="U18" i="3"/>
  <c r="U5" i="3"/>
  <c r="T12" i="3"/>
  <c r="T18" i="3"/>
  <c r="T5" i="3"/>
  <c r="S12" i="3"/>
  <c r="S18" i="3"/>
  <c r="S5" i="3"/>
  <c r="R12" i="3"/>
  <c r="R18" i="3"/>
  <c r="R5" i="3"/>
  <c r="Q12" i="3"/>
  <c r="Q18" i="3"/>
  <c r="Q5" i="3"/>
  <c r="P12" i="3"/>
  <c r="P18" i="3"/>
  <c r="P5" i="3"/>
  <c r="O12" i="3"/>
  <c r="O18" i="3"/>
  <c r="O5" i="3"/>
  <c r="N12" i="3"/>
  <c r="N18" i="3"/>
  <c r="N5" i="3"/>
  <c r="M12" i="3"/>
  <c r="M18" i="3"/>
  <c r="M5" i="3"/>
  <c r="L12" i="3"/>
  <c r="L18" i="3"/>
  <c r="L5" i="3"/>
  <c r="AI14" i="3"/>
  <c r="AH14" i="3"/>
  <c r="AG14" i="3"/>
  <c r="AF14" i="3"/>
  <c r="AE14" i="3"/>
  <c r="AD14" i="3"/>
  <c r="AC14" i="3"/>
  <c r="AB14" i="3"/>
  <c r="AA14" i="3"/>
  <c r="Z14" i="3"/>
  <c r="X14" i="3"/>
  <c r="X20" i="3"/>
  <c r="W14" i="3"/>
  <c r="W20" i="3"/>
  <c r="V14" i="3"/>
  <c r="V20" i="3"/>
  <c r="U14" i="3"/>
  <c r="U20" i="3"/>
  <c r="T14" i="3"/>
  <c r="T20" i="3"/>
  <c r="S14" i="3"/>
  <c r="S20" i="3"/>
  <c r="R14" i="3"/>
  <c r="R20" i="3"/>
  <c r="Q14" i="3"/>
  <c r="Q20" i="3"/>
  <c r="P14" i="3"/>
  <c r="P20" i="3"/>
  <c r="O20" i="3"/>
  <c r="N20" i="3"/>
  <c r="M20" i="3"/>
  <c r="L20" i="3"/>
  <c r="AI13" i="3"/>
  <c r="AH13" i="3"/>
  <c r="AG13" i="3"/>
  <c r="AF13" i="3"/>
  <c r="AE13" i="3"/>
  <c r="AD13" i="3"/>
  <c r="AC13" i="3"/>
  <c r="AB13" i="3"/>
  <c r="AA13" i="3"/>
  <c r="Z13" i="3"/>
  <c r="X13" i="3"/>
  <c r="X19" i="3"/>
  <c r="W13" i="3"/>
  <c r="W19" i="3"/>
  <c r="V13" i="3"/>
  <c r="V19" i="3"/>
  <c r="U13" i="3"/>
  <c r="U19" i="3"/>
  <c r="T13" i="3"/>
  <c r="T19" i="3"/>
  <c r="S13" i="3"/>
  <c r="S19" i="3"/>
  <c r="R13" i="3"/>
  <c r="R19" i="3"/>
  <c r="Q13" i="3"/>
  <c r="Q19" i="3"/>
  <c r="P13" i="3"/>
  <c r="P19" i="3"/>
  <c r="O19" i="3"/>
  <c r="N19" i="3"/>
  <c r="M19" i="3"/>
  <c r="L19" i="3"/>
  <c r="O14" i="3"/>
  <c r="N14" i="3"/>
  <c r="M14" i="3"/>
  <c r="L14" i="3"/>
  <c r="K14" i="3"/>
  <c r="O13" i="3"/>
  <c r="N13" i="3"/>
  <c r="M13" i="3"/>
  <c r="L13" i="3"/>
  <c r="K13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B30" i="1"/>
  <c r="K6" i="1"/>
  <c r="K19" i="1"/>
  <c r="K20" i="1"/>
  <c r="K8" i="1"/>
  <c r="K7" i="1"/>
  <c r="L7" i="1"/>
  <c r="L19" i="1"/>
  <c r="L4" i="1"/>
  <c r="L12" i="1"/>
  <c r="L18" i="1"/>
  <c r="L20" i="1"/>
  <c r="L8" i="1"/>
  <c r="M7" i="1"/>
  <c r="M19" i="1"/>
  <c r="M4" i="1"/>
  <c r="M12" i="1"/>
  <c r="M18" i="1"/>
  <c r="M20" i="1"/>
  <c r="M8" i="1"/>
  <c r="N7" i="1"/>
  <c r="N19" i="1"/>
  <c r="N4" i="1"/>
  <c r="N12" i="1"/>
  <c r="N18" i="1"/>
  <c r="N20" i="1"/>
  <c r="N8" i="1"/>
  <c r="O7" i="1"/>
  <c r="O19" i="1"/>
  <c r="O4" i="1"/>
  <c r="O12" i="1"/>
  <c r="O18" i="1"/>
  <c r="O20" i="1"/>
  <c r="O8" i="1"/>
  <c r="P7" i="1"/>
  <c r="P19" i="1"/>
  <c r="P4" i="1"/>
  <c r="P12" i="1"/>
  <c r="P18" i="1"/>
  <c r="P20" i="1"/>
  <c r="P8" i="1"/>
  <c r="Q7" i="1"/>
  <c r="Q19" i="1"/>
  <c r="Q4" i="1"/>
  <c r="Q12" i="1"/>
  <c r="Q18" i="1"/>
  <c r="Q20" i="1"/>
  <c r="Q8" i="1"/>
  <c r="R7" i="1"/>
  <c r="R19" i="1"/>
  <c r="R4" i="1"/>
  <c r="R12" i="1"/>
  <c r="R18" i="1"/>
  <c r="R20" i="1"/>
  <c r="R8" i="1"/>
  <c r="S7" i="1"/>
  <c r="S19" i="1"/>
  <c r="S4" i="1"/>
  <c r="S12" i="1"/>
  <c r="S18" i="1"/>
  <c r="S20" i="1"/>
  <c r="S8" i="1"/>
  <c r="T7" i="1"/>
  <c r="T19" i="1"/>
  <c r="T4" i="1"/>
  <c r="T12" i="1"/>
  <c r="T18" i="1"/>
  <c r="T20" i="1"/>
  <c r="T8" i="1"/>
  <c r="U7" i="1"/>
  <c r="U19" i="1"/>
  <c r="U4" i="1"/>
  <c r="U12" i="1"/>
  <c r="U18" i="1"/>
  <c r="U20" i="1"/>
  <c r="U8" i="1"/>
  <c r="V7" i="1"/>
  <c r="V19" i="1"/>
  <c r="V4" i="1"/>
  <c r="V12" i="1"/>
  <c r="V18" i="1"/>
  <c r="V20" i="1"/>
  <c r="V8" i="1"/>
  <c r="W7" i="1"/>
  <c r="W19" i="1"/>
  <c r="W4" i="1"/>
  <c r="W12" i="1"/>
  <c r="W18" i="1"/>
  <c r="W20" i="1"/>
  <c r="W8" i="1"/>
  <c r="X7" i="1"/>
  <c r="X19" i="1"/>
  <c r="X4" i="1"/>
  <c r="X12" i="1"/>
  <c r="X18" i="1"/>
  <c r="X20" i="1"/>
  <c r="X8" i="1"/>
  <c r="Y7" i="1"/>
  <c r="Y19" i="1"/>
  <c r="Y4" i="1"/>
  <c r="Y12" i="1"/>
  <c r="Y18" i="1"/>
  <c r="Y20" i="1"/>
  <c r="Y8" i="1"/>
  <c r="Z7" i="1"/>
  <c r="Z19" i="1"/>
  <c r="Z4" i="1"/>
  <c r="Z12" i="1"/>
  <c r="Z18" i="1"/>
  <c r="Z20" i="1"/>
  <c r="Z8" i="1"/>
  <c r="AA7" i="1"/>
  <c r="AA19" i="1"/>
  <c r="AA4" i="1"/>
  <c r="AA12" i="1"/>
  <c r="AA18" i="1"/>
  <c r="AA20" i="1"/>
  <c r="AA8" i="1"/>
  <c r="AB7" i="1"/>
  <c r="AB19" i="1"/>
  <c r="AB4" i="1"/>
  <c r="AB12" i="1"/>
  <c r="AB18" i="1"/>
  <c r="AB20" i="1"/>
  <c r="AB8" i="1"/>
  <c r="AC7" i="1"/>
  <c r="AC19" i="1"/>
  <c r="AC4" i="1"/>
  <c r="AC12" i="1"/>
  <c r="AC18" i="1"/>
  <c r="AC20" i="1"/>
  <c r="AC8" i="1"/>
  <c r="AD7" i="1"/>
  <c r="AD19" i="1"/>
  <c r="AD4" i="1"/>
  <c r="AD12" i="1"/>
  <c r="AD18" i="1"/>
  <c r="AD20" i="1"/>
  <c r="AD8" i="1"/>
  <c r="AE7" i="1"/>
  <c r="AE19" i="1"/>
  <c r="AE4" i="1"/>
  <c r="AE12" i="1"/>
  <c r="AE18" i="1"/>
  <c r="AE20" i="1"/>
  <c r="AE8" i="1"/>
  <c r="AF7" i="1"/>
  <c r="AF19" i="1"/>
  <c r="AF4" i="1"/>
  <c r="AF12" i="1"/>
  <c r="AF18" i="1"/>
  <c r="AF20" i="1"/>
  <c r="AF8" i="1"/>
  <c r="AG7" i="1"/>
  <c r="AG19" i="1"/>
  <c r="AG4" i="1"/>
  <c r="AG12" i="1"/>
  <c r="AG18" i="1"/>
  <c r="AG20" i="1"/>
  <c r="AG8" i="1"/>
  <c r="AH7" i="1"/>
  <c r="AH19" i="1"/>
  <c r="AH4" i="1"/>
  <c r="AH12" i="1"/>
  <c r="AH18" i="1"/>
  <c r="AH20" i="1"/>
  <c r="AH8" i="1"/>
  <c r="AI19" i="1"/>
  <c r="AI4" i="1"/>
  <c r="AI12" i="1"/>
  <c r="AI18" i="1"/>
  <c r="AI20" i="1"/>
  <c r="AI8" i="1"/>
  <c r="AI7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2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G33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G35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H35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I35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G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H36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I36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G37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H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I37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B38" i="1"/>
  <c r="B50" i="1"/>
  <c r="B36" i="1"/>
  <c r="B54" i="1"/>
  <c r="B37" i="1"/>
  <c r="B55" i="1"/>
  <c r="B39" i="1"/>
  <c r="B51" i="1"/>
  <c r="B40" i="1"/>
  <c r="B52" i="1"/>
  <c r="C52" i="1"/>
  <c r="C51" i="1"/>
  <c r="C50" i="1"/>
  <c r="C4" i="1"/>
  <c r="C5" i="1"/>
  <c r="C6" i="1"/>
  <c r="B35" i="1"/>
  <c r="B53" i="1"/>
  <c r="C55" i="1"/>
  <c r="C54" i="1"/>
  <c r="C11" i="1"/>
  <c r="C12" i="1"/>
  <c r="C13" i="1"/>
  <c r="C53" i="1"/>
  <c r="B34" i="1"/>
  <c r="B33" i="1"/>
  <c r="B43" i="1"/>
  <c r="C14" i="1"/>
  <c r="C15" i="1"/>
  <c r="B21" i="1"/>
  <c r="B44" i="1"/>
  <c r="B46" i="1"/>
  <c r="B45" i="1"/>
  <c r="B47" i="1"/>
  <c r="C46" i="1"/>
  <c r="C47" i="1"/>
  <c r="C7" i="1"/>
  <c r="C8" i="1"/>
  <c r="C45" i="1"/>
  <c r="H32" i="1"/>
  <c r="H40" i="1"/>
  <c r="H52" i="1"/>
  <c r="J53" i="1" a="1"/>
  <c r="H31" i="1"/>
  <c r="G39" i="1"/>
  <c r="G52" i="1"/>
  <c r="J53" i="1"/>
  <c r="H53" i="1"/>
  <c r="H39" i="1"/>
  <c r="H47" i="1"/>
  <c r="H33" i="1"/>
  <c r="I41" i="1"/>
  <c r="I52" i="1"/>
  <c r="I53" i="1"/>
  <c r="I39" i="1"/>
  <c r="I47" i="1"/>
  <c r="B48" i="1"/>
  <c r="G40" i="1"/>
  <c r="J54" i="1"/>
  <c r="G54" i="1"/>
  <c r="G48" i="1"/>
  <c r="H54" i="1"/>
  <c r="H48" i="1"/>
  <c r="I54" i="1"/>
  <c r="I40" i="1"/>
  <c r="I48" i="1"/>
  <c r="G41" i="1"/>
  <c r="J55" i="1"/>
  <c r="G55" i="1"/>
  <c r="G49" i="1"/>
  <c r="H41" i="1"/>
  <c r="H55" i="1"/>
  <c r="H49" i="1"/>
  <c r="I55" i="1"/>
  <c r="I49" i="1"/>
  <c r="G53" i="1"/>
  <c r="G47" i="1"/>
  <c r="B34" i="3"/>
  <c r="B21" i="3"/>
  <c r="B1" i="4"/>
  <c r="B3" i="4"/>
  <c r="B4" i="4"/>
  <c r="B4" i="5"/>
  <c r="B2" i="4"/>
  <c r="B34" i="7"/>
  <c r="B21" i="7"/>
  <c r="B34" i="8"/>
  <c r="B21" i="8"/>
  <c r="B34" i="9"/>
  <c r="B21" i="9"/>
  <c r="B34" i="10"/>
  <c r="B21" i="10"/>
  <c r="B34" i="11"/>
  <c r="B21" i="11"/>
  <c r="B34" i="12"/>
  <c r="B21" i="12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C5" i="10"/>
  <c r="F5" i="10"/>
  <c r="C6" i="10"/>
  <c r="F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G52" i="3"/>
  <c r="H52" i="3"/>
  <c r="I52" i="3"/>
  <c r="B53" i="3"/>
  <c r="C53" i="3"/>
  <c r="G53" i="3"/>
  <c r="H53" i="3"/>
  <c r="I53" i="3"/>
  <c r="J53" i="3" a="1"/>
  <c r="J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G57" i="3" a="1"/>
  <c r="G57" i="3"/>
  <c r="H57" i="3"/>
  <c r="I57" i="3"/>
  <c r="B58" i="3"/>
  <c r="C58" i="3"/>
  <c r="G58" i="3"/>
  <c r="H58" i="3"/>
  <c r="I58" i="3"/>
  <c r="G59" i="3"/>
  <c r="H59" i="3"/>
  <c r="I59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D42" i="6"/>
  <c r="E42" i="6"/>
  <c r="F42" i="6"/>
  <c r="D43" i="6"/>
  <c r="E43" i="6"/>
  <c r="F43" i="6"/>
  <c r="D44" i="6"/>
  <c r="E44" i="6"/>
  <c r="F44" i="6"/>
</calcChain>
</file>

<file path=xl/comments1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<sst xmlns="http://schemas.openxmlformats.org/spreadsheetml/2006/main" count="991" uniqueCount="141">
  <si>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</si>
  <si>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</si>
  <si>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</si>
  <si>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</si>
  <si>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</si>
  <si>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</si>
  <si>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</si>
  <si>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</si>
  <si>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</si>
  <si>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</si>
  <si>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</si>
  <si>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</si>
  <si>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</si>
  <si>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</si>
  <si>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</si>
  <si>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</si>
  <si>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</si>
  <si>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</si>
  <si>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</si>
  <si>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</si>
  <si>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</si>
  <si>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</si>
  <si>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</si>
  <si>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</si>
  <si>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</si>
  <si>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</si>
  <si>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</si>
  <si>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</si>
  <si>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</si>
  <si>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</si>
  <si>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</si>
  <si>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</si>
  <si>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</si>
  <si>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</si>
  <si>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</si>
  <si>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</si>
  <si>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</si>
  <si>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</si>
  <si>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</si>
  <si>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</si>
  <si>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</si>
  <si>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</si>
  <si>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</si>
  <si>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</si>
  <si>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</si>
  <si>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</si>
  <si>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</si>
  <si>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</si>
  <si>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</si>
  <si>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</si>
  <si>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</si>
  <si>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</si>
  <si>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</si>
  <si>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</si>
  <si>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</si>
  <si>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</si>
  <si>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</si>
  <si>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</si>
  <si>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</si>
  <si>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</si>
  <si>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</si>
  <si>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</si>
  <si>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</si>
  <si>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</si>
  <si>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</si>
  <si>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</si>
  <si>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</si>
  <si>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</si>
  <si>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</si>
  <si>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</si>
  <si>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</si>
  <si>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</si>
  <si>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</si>
  <si>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</si>
  <si>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</si>
  <si>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</si>
  <si>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</si>
  <si>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</si>
  <si>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</si>
  <si>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</si>
  <si>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</si>
  <si>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</si>
  <si>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</si>
  <si>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sr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</si>
  <si>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</si>
  <si>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</si>
  <si>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</si>
  <si>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</si>
  <si>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</si>
  <si>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</si>
  <si>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</si>
  <si>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</si>
  <si>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</si>
  <si>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</si>
  <si>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</si>
  <si>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</si>
  <si>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</si>
  <si>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</si>
  <si>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</si>
  <si>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</si>
  <si>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</si>
  <si>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</si>
  <si>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</si>
  <si>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</si>
  <si>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</si>
  <si>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</si>
  <si>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</si>
  <si>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</si>
  <si>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</si>
  <si>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</si>
  <si>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</si>
  <si>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</si>
  <si>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</si>
  <si>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</si>
  <si>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</si>
  <si>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</si>
  <si>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</si>
  <si>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</si>
  <si>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</si>
  <si>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</si>
  <si>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</si>
  <si>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</si>
  <si>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</si>
  <si>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Wa</t>
  </si>
  <si>
    <t>Wa_hat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</si>
  <si>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</si>
  <si>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</si>
  <si>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</si>
  <si>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</si>
  <si>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</si>
  <si>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</si>
  <si>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</si>
  <si>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</si>
  <si>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</si>
  <si>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</si>
  <si>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</si>
  <si>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No Size Limit</t>
  </si>
  <si>
    <t>Reduce DMR</t>
  </si>
  <si>
    <t>Excluders</t>
  </si>
  <si>
    <t>ALLOCATION BASED ON YPR</t>
  </si>
  <si>
    <t>ALLOCATION BASED ON 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</si>
</sst>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</numFmts>
  <fonts count="23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1"/>
      <color rgb="FF000000"/>
      <name val="Calibri"/>
      <family val="2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5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17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10" fontId="5" fillId="0" borderId="0" xfId="0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1" fontId="17" fillId="0" borderId="0" xfId="0" applyNumberFormat="1" applyFont="1"/>
    <xf numFmtId="0" fontId="17" fillId="0" borderId="0" xfId="0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0" fillId="0" borderId="0" xfId="1" applyNumberFormat="1" applyFont="1" applyAlignment="1">
      <alignment horizontal="center"/>
    </xf>
    <xf numFmtId="166" fontId="14" fillId="0" borderId="0" xfId="0" applyNumberFormat="1" applyFont="1" applyAlignment="1">
      <alignment horizontal="center"/>
    </xf>
    <xf numFmtId="166" fontId="0" fillId="0" borderId="3" xfId="1" applyNumberFormat="1" applyFont="1" applyBorder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0" fillId="0" borderId="0" xfId="1" applyNumberFormat="1" applyFont="1" applyAlignment="1">
      <alignment horizontal="center"/>
    </xf>
    <xf numFmtId="166" fontId="10" fillId="0" borderId="3" xfId="1" applyNumberFormat="1" applyFont="1" applyBorder="1" applyAlignment="1">
      <alignment horizontal="center"/>
    </xf>
    <xf numFmtId="166" fontId="19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9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9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9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8" fillId="0" borderId="3" xfId="0" applyFont="1" applyBorder="1" applyAlignment="1">
      <alignment horizontal="center"/>
    </xf>
    <xf numFmtId="9" fontId="19" fillId="0" borderId="6" xfId="2" applyFont="1" applyBorder="1" applyAlignment="1">
      <alignment horizontal="center"/>
    </xf>
    <xf numFmtId="43" fontId="19" fillId="0" borderId="6" xfId="1" applyNumberFormat="1" applyFont="1" applyBorder="1" applyAlignment="1"/>
    <xf numFmtId="0" fontId="20" fillId="8" borderId="0" xfId="0" applyFont="1" applyFill="1" applyAlignment="1">
      <alignment horizontal="center"/>
    </xf>
    <xf numFmtId="0" fontId="21" fillId="9" borderId="0" xfId="0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5" fillId="0" borderId="0" xfId="1" applyNumberFormat="1" applyFont="1" applyAlignment="1">
      <alignment horizontal="center"/>
    </xf>
    <xf numFmtId="166" fontId="5" fillId="0" borderId="3" xfId="1" applyNumberFormat="1" applyFont="1" applyBorder="1" applyAlignment="1">
      <alignment horizontal="center"/>
    </xf>
    <xf numFmtId="166" fontId="2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2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2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2" fillId="0" borderId="6" xfId="1" applyNumberFormat="1" applyFont="1" applyBorder="1" applyAlignment="1"/>
    <xf numFmtId="9" fontId="22" fillId="0" borderId="6" xfId="2" applyFont="1" applyBorder="1" applyAlignment="1">
      <alignment horizontal="center"/>
    </xf>
    <xf numFmtId="43" fontId="22" fillId="0" borderId="6" xfId="1" applyNumberFormat="1" applyFont="1" applyBorder="1" applyAlignment="1"/>
    <xf numFmtId="166" fontId="19" fillId="0" borderId="6" xfId="1" applyNumberFormat="1" applyFont="1" applyBorder="1" applyAlignment="1"/>
  </cellXfs>
  <cellStyles count="255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#,##0_-;\-* #,##0_-;_-* "-"??_-;_-@_-</c:formatCode>
                <c:ptCount val="4"/>
                <c:pt idx="0">
                  <c:v>27569.4394224561</c:v>
                </c:pt>
                <c:pt idx="1">
                  <c:v>24268.78142553413</c:v>
                </c:pt>
                <c:pt idx="2">
                  <c:v>27109.57077646557</c:v>
                </c:pt>
                <c:pt idx="3">
                  <c:v>27568.6269329213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#,##0_-;\-* #,##0_-;_-* "-"??_-;_-@_-</c:formatCode>
                <c:ptCount val="4"/>
                <c:pt idx="0">
                  <c:v>10281.8324146286</c:v>
                </c:pt>
                <c:pt idx="1">
                  <c:v>9050.874763936835</c:v>
                </c:pt>
                <c:pt idx="2">
                  <c:v>10110.32757267794</c:v>
                </c:pt>
                <c:pt idx="3">
                  <c:v>10281.52940225655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#,##0_-;\-* #,##0_-;_-* "-"??_-;_-@_-</c:formatCode>
                <c:ptCount val="4"/>
                <c:pt idx="0">
                  <c:v>7818.166290157208</c:v>
                </c:pt>
                <c:pt idx="1">
                  <c:v>6882.162743206078</c:v>
                </c:pt>
                <c:pt idx="2">
                  <c:v>7687.756328210178</c:v>
                </c:pt>
                <c:pt idx="3">
                  <c:v>7817.935883648219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718712"/>
        <c:axId val="-2131715704"/>
      </c:barChart>
      <c:catAx>
        <c:axId val="-21317187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31715704"/>
        <c:crosses val="autoZero"/>
        <c:auto val="1"/>
        <c:lblAlgn val="ctr"/>
        <c:lblOffset val="100"/>
        <c:noMultiLvlLbl val="0"/>
      </c:catAx>
      <c:valAx>
        <c:axId val="-213171570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-21317187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#,##0_-;\-* #,##0_-;_-* "-"??_-;_-@_-</c:formatCode>
                <c:ptCount val="4"/>
                <c:pt idx="0">
                  <c:v>27569.4394224561</c:v>
                </c:pt>
                <c:pt idx="1">
                  <c:v>24268.78142553413</c:v>
                </c:pt>
                <c:pt idx="2">
                  <c:v>27109.57077646557</c:v>
                </c:pt>
                <c:pt idx="3">
                  <c:v>27568.6269329213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#,##0_-;\-* #,##0_-;_-* "-"??_-;_-@_-</c:formatCode>
                <c:ptCount val="4"/>
                <c:pt idx="0">
                  <c:v>10281.8324146286</c:v>
                </c:pt>
                <c:pt idx="1">
                  <c:v>9050.874763936835</c:v>
                </c:pt>
                <c:pt idx="2">
                  <c:v>10110.32757267794</c:v>
                </c:pt>
                <c:pt idx="3">
                  <c:v>10281.52940225655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#,##0_-;\-* #,##0_-;_-* "-"??_-;_-@_-</c:formatCode>
                <c:ptCount val="4"/>
                <c:pt idx="0">
                  <c:v>7818.166290157208</c:v>
                </c:pt>
                <c:pt idx="1">
                  <c:v>6882.162743206078</c:v>
                </c:pt>
                <c:pt idx="2">
                  <c:v>7687.756328210178</c:v>
                </c:pt>
                <c:pt idx="3">
                  <c:v>7817.935883648219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1474696"/>
        <c:axId val="-2092618024"/>
      </c:barChart>
      <c:catAx>
        <c:axId val="-2091474696"/>
        <c:scaling>
          <c:orientation val="minMax"/>
        </c:scaling>
        <c:delete val="0"/>
        <c:axPos val="l"/>
        <c:majorTickMark val="out"/>
        <c:minorTickMark val="none"/>
        <c:tickLblPos val="nextTo"/>
        <c:crossAx val="-2092618024"/>
        <c:crosses val="autoZero"/>
        <c:auto val="1"/>
        <c:lblAlgn val="ctr"/>
        <c:lblOffset val="100"/>
        <c:noMultiLvlLbl val="0"/>
      </c:catAx>
      <c:valAx>
        <c:axId val="-2092618024"/>
        <c:scaling>
          <c:orientation val="minMax"/>
        </c:scaling>
        <c:delete val="0"/>
        <c:axPos val="b"/>
        <c:majorGridlines/>
        <c:numFmt formatCode="_-* #,##0_-;\-* #,##0_-;_-* &quot;-&quot;??_-;_-@_-" sourceLinked="1"/>
        <c:majorTickMark val="out"/>
        <c:minorTickMark val="none"/>
        <c:tickLblPos val="nextTo"/>
        <c:crossAx val="-2091474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  <c:pt idx="6">
                  <c:v>Excluders</c:v>
                </c:pt>
                <c:pt idx="7">
                  <c:v>No Size Limit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#,##0_-;\-* #,##0_-;_-* "-"??_-;_-@_-</c:formatCode>
                <c:ptCount val="9"/>
                <c:pt idx="0">
                  <c:v>27569.4394224561</c:v>
                </c:pt>
                <c:pt idx="1">
                  <c:v>24268.78142553413</c:v>
                </c:pt>
                <c:pt idx="2">
                  <c:v>27109.57077646557</c:v>
                </c:pt>
                <c:pt idx="3">
                  <c:v>27568.6269329213</c:v>
                </c:pt>
                <c:pt idx="6">
                  <c:v>29595.65904553229</c:v>
                </c:pt>
                <c:pt idx="7">
                  <c:v>28045.14916888425</c:v>
                </c:pt>
                <c:pt idx="8">
                  <c:v>27570.11918060684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  <c:pt idx="6">
                  <c:v>Excluders</c:v>
                </c:pt>
                <c:pt idx="7">
                  <c:v>No Size Limit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#,##0_-;\-* #,##0_-;_-* "-"??_-;_-@_-</c:formatCode>
                <c:ptCount val="9"/>
                <c:pt idx="0">
                  <c:v>10281.8324146286</c:v>
                </c:pt>
                <c:pt idx="1">
                  <c:v>9050.874763936835</c:v>
                </c:pt>
                <c:pt idx="2">
                  <c:v>10110.32757267794</c:v>
                </c:pt>
                <c:pt idx="3">
                  <c:v>10281.52940225655</c:v>
                </c:pt>
                <c:pt idx="6">
                  <c:v>6228.260991394572</c:v>
                </c:pt>
                <c:pt idx="7">
                  <c:v>9634.550559535247</c:v>
                </c:pt>
                <c:pt idx="8">
                  <c:v>10280.36787105843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No Size Limit</c:v>
                </c:pt>
                <c:pt idx="3">
                  <c:v>Reduce DMR</c:v>
                </c:pt>
                <c:pt idx="6">
                  <c:v>Excluders</c:v>
                </c:pt>
                <c:pt idx="7">
                  <c:v>No Size Limit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#,##0_-;\-* #,##0_-;_-* "-"??_-;_-@_-</c:formatCode>
                <c:ptCount val="9"/>
                <c:pt idx="0">
                  <c:v>7818.166290157208</c:v>
                </c:pt>
                <c:pt idx="1">
                  <c:v>6882.162743206078</c:v>
                </c:pt>
                <c:pt idx="2">
                  <c:v>7687.756328210178</c:v>
                </c:pt>
                <c:pt idx="3">
                  <c:v>7817.935883648219</c:v>
                </c:pt>
                <c:pt idx="6">
                  <c:v>8474.906527546274</c:v>
                </c:pt>
                <c:pt idx="7">
                  <c:v>7657.853951822966</c:v>
                </c:pt>
                <c:pt idx="8">
                  <c:v>7818.398235222531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-2096631992"/>
        <c:axId val="-2096436152"/>
      </c:barChart>
      <c:catAx>
        <c:axId val="-209663199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96436152"/>
        <c:crosses val="autoZero"/>
        <c:auto val="1"/>
        <c:lblAlgn val="ctr"/>
        <c:lblOffset val="100"/>
        <c:noMultiLvlLbl val="0"/>
      </c:catAx>
      <c:valAx>
        <c:axId val="-209643615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-* #,##0_-;\-* #,##0_-;_-* &quot;-&quot;??_-;_-@_-" sourceLinked="1"/>
        <c:majorTickMark val="none"/>
        <c:minorTickMark val="none"/>
        <c:tickLblPos val="nextTo"/>
        <c:crossAx val="-209663199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Selectivities!$D$4</c:f>
              <c:strCache>
                <c:ptCount val="1"/>
                <c:pt idx="0">
                  <c:v>Sport</c:v>
                </c:pt>
              </c:strCache>
            </c:strRef>
          </c:tx>
          <c:marker>
            <c:symbol val="none"/>
          </c:marker>
          <c:val>
            <c:numRef>
              <c:f>Selectivities!$E$4:$AH$4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Selectivities!$D$11</c:f>
              <c:strCache>
                <c:ptCount val="1"/>
                <c:pt idx="0">
                  <c:v>Flt3_</c:v>
                </c:pt>
              </c:strCache>
            </c:strRef>
          </c:tx>
          <c:marker>
            <c:symbol val="none"/>
          </c:marker>
          <c:val>
            <c:numRef>
              <c:f>Selectivities!$E$11:$AH$11</c:f>
              <c:numCache>
                <c:formatCode>0.00</c:formatCode>
                <c:ptCount val="30"/>
                <c:pt idx="0">
                  <c:v>0.000643347412809042</c:v>
                </c:pt>
                <c:pt idx="1">
                  <c:v>0.00230427414517385</c:v>
                </c:pt>
                <c:pt idx="2">
                  <c:v>0.00823419804267264</c:v>
                </c:pt>
                <c:pt idx="3">
                  <c:v>0.0291576031333828</c:v>
                </c:pt>
                <c:pt idx="4">
                  <c:v>0.0996961432403315</c:v>
                </c:pt>
                <c:pt idx="5">
                  <c:v>0.301847916375743</c:v>
                </c:pt>
                <c:pt idx="6">
                  <c:v>0.668034744861457</c:v>
                </c:pt>
                <c:pt idx="7">
                  <c:v>0.947933388782835</c:v>
                </c:pt>
                <c:pt idx="8">
                  <c:v>0.996474474081027</c:v>
                </c:pt>
                <c:pt idx="9">
                  <c:v>0.935243742877979</c:v>
                </c:pt>
                <c:pt idx="10">
                  <c:v>0.849877235240001</c:v>
                </c:pt>
                <c:pt idx="11">
                  <c:v>0.765857432982346</c:v>
                </c:pt>
                <c:pt idx="12">
                  <c:v>0.688682713380763</c:v>
                </c:pt>
                <c:pt idx="13">
                  <c:v>0.618955125073576</c:v>
                </c:pt>
                <c:pt idx="14">
                  <c:v>0.556213000638314</c:v>
                </c:pt>
                <c:pt idx="15">
                  <c:v>0.556213000638314</c:v>
                </c:pt>
                <c:pt idx="16">
                  <c:v>0.556213000638314</c:v>
                </c:pt>
                <c:pt idx="17">
                  <c:v>0.556213000638314</c:v>
                </c:pt>
                <c:pt idx="18">
                  <c:v>0.556213000638314</c:v>
                </c:pt>
                <c:pt idx="19">
                  <c:v>0.556213000638314</c:v>
                </c:pt>
                <c:pt idx="20">
                  <c:v>0.556213000638314</c:v>
                </c:pt>
                <c:pt idx="21">
                  <c:v>0.556213000638314</c:v>
                </c:pt>
                <c:pt idx="22">
                  <c:v>0.556213000638314</c:v>
                </c:pt>
                <c:pt idx="23">
                  <c:v>0.556213000638314</c:v>
                </c:pt>
                <c:pt idx="24">
                  <c:v>0.556213000638314</c:v>
                </c:pt>
                <c:pt idx="25">
                  <c:v>0.556213000638314</c:v>
                </c:pt>
                <c:pt idx="26">
                  <c:v>0.556213000638314</c:v>
                </c:pt>
                <c:pt idx="27">
                  <c:v>0.556213000638314</c:v>
                </c:pt>
                <c:pt idx="28">
                  <c:v>0.556213000638314</c:v>
                </c:pt>
                <c:pt idx="29">
                  <c:v>0.556213000638314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750664"/>
        <c:axId val="2146747704"/>
      </c:lineChart>
      <c:catAx>
        <c:axId val="2146750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747704"/>
        <c:crosses val="autoZero"/>
        <c:auto val="1"/>
        <c:lblAlgn val="ctr"/>
        <c:lblOffset val="100"/>
        <c:noMultiLvlLbl val="0"/>
      </c:catAx>
      <c:valAx>
        <c:axId val="21467477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6750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SAA!$C$2</c:f>
              <c:strCache>
                <c:ptCount val="1"/>
                <c:pt idx="0">
                  <c:v>Wa</c:v>
                </c:pt>
              </c:strCache>
            </c:strRef>
          </c:tx>
          <c:marker>
            <c:symbol val="none"/>
          </c:marker>
          <c:val>
            <c:numRef>
              <c:f>SAA!$D$2:$AG$2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SAA!$C$3</c:f>
              <c:strCache>
                <c:ptCount val="1"/>
                <c:pt idx="0">
                  <c:v>Wa_hat</c:v>
                </c:pt>
              </c:strCache>
            </c:strRef>
          </c:tx>
          <c:marker>
            <c:symbol val="none"/>
          </c:marker>
          <c:val>
            <c:numRef>
              <c:f>SAA!$D$3:$AG$3</c:f>
              <c:numCache>
                <c:formatCode>General</c:formatCode>
                <c:ptCount val="30"/>
                <c:pt idx="0">
                  <c:v>0.051195958452201</c:v>
                </c:pt>
                <c:pt idx="1">
                  <c:v>0.293426547002952</c:v>
                </c:pt>
                <c:pt idx="2">
                  <c:v>0.819336820716452</c:v>
                </c:pt>
                <c:pt idx="3">
                  <c:v>1.670981082326464</c:v>
                </c:pt>
                <c:pt idx="4">
                  <c:v>2.855887017507196</c:v>
                </c:pt>
                <c:pt idx="5">
                  <c:v>4.358800147502431</c:v>
                </c:pt>
                <c:pt idx="6">
                  <c:v>6.150262831844201</c:v>
                </c:pt>
                <c:pt idx="7">
                  <c:v>8.19279554805306</c:v>
                </c:pt>
                <c:pt idx="8">
                  <c:v>10.44527228486035</c:v>
                </c:pt>
                <c:pt idx="9">
                  <c:v>12.86594496174534</c:v>
                </c:pt>
                <c:pt idx="10">
                  <c:v>15.41446537612474</c:v>
                </c:pt>
                <c:pt idx="11">
                  <c:v>18.0531706358767</c:v>
                </c:pt>
                <c:pt idx="12">
                  <c:v>20.74783414032951</c:v>
                </c:pt>
                <c:pt idx="13">
                  <c:v>23.46803483147694</c:v>
                </c:pt>
                <c:pt idx="14">
                  <c:v>26.18725943682872</c:v>
                </c:pt>
                <c:pt idx="15">
                  <c:v>28.88282324904471</c:v>
                </c:pt>
                <c:pt idx="16">
                  <c:v>31.53567266506708</c:v>
                </c:pt>
                <c:pt idx="17">
                  <c:v>34.13011569814607</c:v>
                </c:pt>
                <c:pt idx="18">
                  <c:v>36.65351377654532</c:v>
                </c:pt>
                <c:pt idx="19">
                  <c:v>39.09595841409763</c:v>
                </c:pt>
                <c:pt idx="20">
                  <c:v>41.44994904896174</c:v>
                </c:pt>
                <c:pt idx="21">
                  <c:v>43.71008292927741</c:v>
                </c:pt>
                <c:pt idx="22">
                  <c:v>45.87276393651164</c:v>
                </c:pt>
                <c:pt idx="23">
                  <c:v>47.93593433717436</c:v>
                </c:pt>
                <c:pt idx="24">
                  <c:v>49.89883137693576</c:v>
                </c:pt>
                <c:pt idx="25">
                  <c:v>51.76176917423702</c:v>
                </c:pt>
                <c:pt idx="26">
                  <c:v>53.5259453766138</c:v>
                </c:pt>
                <c:pt idx="27">
                  <c:v>55.19327139216031</c:v>
                </c:pt>
                <c:pt idx="28">
                  <c:v>56.76622460928558</c:v>
                </c:pt>
                <c:pt idx="29">
                  <c:v>58.2477208005931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705112"/>
        <c:axId val="2146702120"/>
      </c:lineChart>
      <c:catAx>
        <c:axId val="21467051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702120"/>
        <c:crosses val="autoZero"/>
        <c:auto val="1"/>
        <c:lblAlgn val="ctr"/>
        <c:lblOffset val="100"/>
        <c:noMultiLvlLbl val="0"/>
      </c:catAx>
      <c:valAx>
        <c:axId val="2146702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705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27</xdr:row>
      <xdr:rowOff>127000</xdr:rowOff>
    </xdr:from>
    <xdr:to>
      <xdr:col>19</xdr:col>
      <xdr:colOff>241300</xdr:colOff>
      <xdr:row>39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42</xdr:row>
      <xdr:rowOff>76200</xdr:rowOff>
    </xdr:from>
    <xdr:to>
      <xdr:col>18</xdr:col>
      <xdr:colOff>673100</xdr:colOff>
      <xdr:row>54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42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14</xdr:row>
      <xdr:rowOff>215900</xdr:rowOff>
    </xdr:from>
    <xdr:to>
      <xdr:col>11</xdr:col>
      <xdr:colOff>406400</xdr:colOff>
      <xdr:row>26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152400</xdr:colOff>
      <xdr:row>12</xdr:row>
      <xdr:rowOff>127000</xdr:rowOff>
    </xdr:from>
    <xdr:to>
      <xdr:col>25</xdr:col>
      <xdr:colOff>596900</xdr:colOff>
      <xdr:row>24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4"/>
  <sheetViews>
    <sheetView topLeftCell="A3" zoomScale="150" zoomScaleNormal="150" zoomScalePageLayoutView="150" workbookViewId="0">
      <selection activeCell="B34" sqref="B34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92" customWidth="1"/>
    <col min="6" max="6" width="13.1640625" customWidth="1"/>
    <col min="7" max="8" width="4" customWidth="1"/>
    <col min="9" max="12" width="13.1640625" customWidth="1"/>
  </cols>
  <sheetData>
    <row r="3" spans="2:11">
      <c r="D3" s="97" t="s">
        <v>139</v>
      </c>
      <c r="E3" s="97"/>
      <c r="F3" s="97"/>
      <c r="I3" s="98" t="s">
        <v>140</v>
      </c>
      <c r="J3" s="98"/>
      <c r="K3" s="98"/>
    </row>
    <row r="4" spans="2:11">
      <c r="B4" s="64" t="s">
        <v>134</v>
      </c>
      <c r="C4" s="53" t="s">
        <v>115</v>
      </c>
      <c r="D4" s="88" t="s">
        <v>138</v>
      </c>
      <c r="E4" s="93" t="s">
        <v>136</v>
      </c>
      <c r="F4" s="93" t="s">
        <v>137</v>
      </c>
      <c r="I4" s="99" t="s">
        <v>138</v>
      </c>
      <c r="J4" s="100" t="s">
        <v>136</v>
      </c>
      <c r="K4" s="100" t="s">
        <v>137</v>
      </c>
    </row>
    <row r="5" spans="2:11">
      <c r="B5" s="8" t="s">
        <v>106</v>
      </c>
      <c r="C5" s="65">
        <f ca="1">'Status Quo'!ye_1</f>
        <v>27569.439422456104</v>
      </c>
      <c r="D5" s="79">
        <f ca="1">'Excluders (1)'!ye_1</f>
        <v>24268.781425534129</v>
      </c>
      <c r="E5" s="79">
        <f ca="1">'No Size Limit (1)'!ye_1</f>
        <v>27109.570776465567</v>
      </c>
      <c r="F5" s="79">
        <f ca="1">'Reduce DMR (1)'!ye_1</f>
        <v>27568.626932921292</v>
      </c>
      <c r="I5" s="101">
        <f ca="1">'Excluders (2)'!ye_1</f>
        <v>29595.659045532288</v>
      </c>
      <c r="J5" s="101">
        <f ca="1">'No Size Limit (2)'!ye_1</f>
        <v>28045.149168884247</v>
      </c>
      <c r="K5" s="101">
        <f ca="1">'Reduce DMR (2)'!ye_1</f>
        <v>27570.119180606842</v>
      </c>
    </row>
    <row r="6" spans="2:11">
      <c r="B6" s="8" t="s">
        <v>107</v>
      </c>
      <c r="C6" s="65">
        <f ca="1">'Status Quo'!ye_2</f>
        <v>10281.832414628605</v>
      </c>
      <c r="D6" s="79">
        <f ca="1">'Excluders (1)'!ye_2</f>
        <v>9050.8747639368357</v>
      </c>
      <c r="E6" s="79">
        <f ca="1">'No Size Limit (1)'!ye_2</f>
        <v>10110.327572677936</v>
      </c>
      <c r="F6" s="79">
        <f ca="1">'Reduce DMR (1)'!ye_2</f>
        <v>10281.529402256549</v>
      </c>
      <c r="I6" s="101">
        <f ca="1">'Excluders (2)'!ye_2</f>
        <v>6228.2609913945716</v>
      </c>
      <c r="J6" s="101">
        <f ca="1">'No Size Limit (2)'!ye_2</f>
        <v>9634.5505595352479</v>
      </c>
      <c r="K6" s="101">
        <f ca="1">'Reduce DMR (2)'!ye_2</f>
        <v>10280.367871058428</v>
      </c>
    </row>
    <row r="7" spans="2:11">
      <c r="B7" s="51" t="s">
        <v>108</v>
      </c>
      <c r="C7" s="67">
        <f ca="1">'Status Quo'!ye_3</f>
        <v>7818.1662901572081</v>
      </c>
      <c r="D7" s="80">
        <f ca="1">'Excluders (1)'!ye_3</f>
        <v>6882.1627432060786</v>
      </c>
      <c r="E7" s="80">
        <f ca="1">'No Size Limit (1)'!ye_3</f>
        <v>7687.7563282101783</v>
      </c>
      <c r="F7" s="80">
        <f ca="1">'Reduce DMR (1)'!ye_3</f>
        <v>7817.9358836482188</v>
      </c>
      <c r="I7" s="102">
        <f ca="1">'Excluders (2)'!ye_3</f>
        <v>8474.9065275462744</v>
      </c>
      <c r="J7" s="102">
        <f ca="1">'No Size Limit (2)'!ye_3</f>
        <v>7657.8539518229663</v>
      </c>
      <c r="K7" s="102">
        <f ca="1">'Reduce DMR (2)'!ye_3</f>
        <v>7818.3982352225312</v>
      </c>
    </row>
    <row r="8" spans="2:11">
      <c r="B8" s="50" t="s">
        <v>72</v>
      </c>
      <c r="C8" s="66">
        <f ca="1">SUM(C5:C7)</f>
        <v>45669.438127241912</v>
      </c>
      <c r="D8" s="81">
        <f ca="1">SUM(D5:D7)</f>
        <v>40201.818932677044</v>
      </c>
      <c r="E8" s="81">
        <f ca="1">SUM(E5:E7)</f>
        <v>44907.654677353683</v>
      </c>
      <c r="F8" s="81">
        <f ca="1">SUM(F5:F7)</f>
        <v>45668.092218826059</v>
      </c>
      <c r="I8" s="103">
        <f ca="1">SUM(I5:I7)</f>
        <v>44298.826564473129</v>
      </c>
      <c r="J8" s="103">
        <f ca="1">SUM(J5:J7)</f>
        <v>45337.553680242461</v>
      </c>
      <c r="K8" s="103">
        <f ca="1">SUM(K5:K7)</f>
        <v>45668.885286887802</v>
      </c>
    </row>
    <row r="9" spans="2:11">
      <c r="D9" s="78"/>
      <c r="F9" s="92"/>
      <c r="I9" s="104"/>
      <c r="J9" s="17"/>
      <c r="K9" s="17"/>
    </row>
    <row r="10" spans="2:11">
      <c r="B10" s="64" t="s">
        <v>128</v>
      </c>
      <c r="C10" s="94" t="s">
        <v>115</v>
      </c>
      <c r="D10" s="88" t="str">
        <f>D4</f>
        <v>Excluders</v>
      </c>
      <c r="E10" s="88" t="str">
        <f>E4</f>
        <v>No Size Limit</v>
      </c>
      <c r="F10" s="93" t="str">
        <f>F4</f>
        <v>Reduce DMR</v>
      </c>
      <c r="I10" s="99" t="str">
        <f>I4</f>
        <v>Excluders</v>
      </c>
      <c r="J10" s="99" t="str">
        <f>J4</f>
        <v>No Size Limit</v>
      </c>
      <c r="K10" s="100" t="str">
        <f>K4</f>
        <v>Reduce DMR</v>
      </c>
    </row>
    <row r="11" spans="2:11">
      <c r="B11" s="8" t="s">
        <v>106</v>
      </c>
      <c r="C11" s="70">
        <f ca="1">'Status Quo'!E27</f>
        <v>2064.3253884977394</v>
      </c>
      <c r="D11" s="82">
        <f ca="1">'Excluders (1)'!E27</f>
        <v>1840.1819237941136</v>
      </c>
      <c r="E11" s="82">
        <f ca="1">'No Size Limit (1)'!$E27</f>
        <v>2035.3111123523515</v>
      </c>
      <c r="F11" s="82">
        <f ca="1">'Reduce DMR (1)'!$E27</f>
        <v>2064.2654350579483</v>
      </c>
      <c r="I11" s="105">
        <f ca="1">'Excluders (2)'!E27</f>
        <v>2132.2631750529076</v>
      </c>
      <c r="J11" s="105">
        <f ca="1">'No Size Limit (2)'!$E27</f>
        <v>2068.8074717401319</v>
      </c>
      <c r="K11" s="105">
        <f ca="1">'Reduce DMR (2)'!$E27</f>
        <v>2064.3226266779184</v>
      </c>
    </row>
    <row r="12" spans="2:11">
      <c r="B12" s="8" t="s">
        <v>107</v>
      </c>
      <c r="C12" s="70">
        <f ca="1">'Status Quo'!E28</f>
        <v>818.71296036039905</v>
      </c>
      <c r="D12" s="82">
        <f ca="1">'Excluders (1)'!E28</f>
        <v>2123.5881299401176</v>
      </c>
      <c r="E12" s="82">
        <f ca="1">'No Size Limit (1)'!$E28</f>
        <v>797.53843008718741</v>
      </c>
      <c r="F12" s="82">
        <f ca="1">'Reduce DMR (1)'!$E28</f>
        <v>1637.2269633606884</v>
      </c>
      <c r="I12" s="105">
        <f ca="1">'Excluders (2)'!E28</f>
        <v>2080.795472096208</v>
      </c>
      <c r="J12" s="105">
        <f ca="1">'No Size Limit (2)'!$E28</f>
        <v>794.19297180551712</v>
      </c>
      <c r="K12" s="105">
        <f ca="1">'Reduce DMR (2)'!$E28</f>
        <v>1637.21387899418</v>
      </c>
    </row>
    <row r="13" spans="2:11">
      <c r="B13" s="51" t="s">
        <v>108</v>
      </c>
      <c r="C13" s="71">
        <f ca="1">'Status Quo'!E29</f>
        <v>635.48251459065807</v>
      </c>
      <c r="D13" s="83">
        <f ca="1">'Excluders (1)'!E29</f>
        <v>668.62378702349338</v>
      </c>
      <c r="E13" s="83">
        <f ca="1">'No Size Limit (1)'!$E29</f>
        <v>634.21785061702678</v>
      </c>
      <c r="F13" s="82">
        <f ca="1">'Reduce DMR (1)'!$E29</f>
        <v>635.49125711929003</v>
      </c>
      <c r="I13" s="105">
        <f ca="1">'Excluders (2)'!E29</f>
        <v>663.44883649105986</v>
      </c>
      <c r="J13" s="106">
        <f ca="1">'No Size Limit (2)'!$E29</f>
        <v>631.34490828123262</v>
      </c>
      <c r="K13" s="105">
        <f ca="1">'Reduce DMR (2)'!$E29</f>
        <v>635.48598166652857</v>
      </c>
    </row>
    <row r="14" spans="2:11">
      <c r="B14" s="50" t="s">
        <v>72</v>
      </c>
      <c r="C14" s="74">
        <f ca="1">SUM(C11:C13)</f>
        <v>3518.5208634487963</v>
      </c>
      <c r="D14" s="84">
        <f ca="1">SUM(D11:D13)</f>
        <v>4632.3938407577243</v>
      </c>
      <c r="E14" s="84">
        <f ca="1">SUM(E11:E13)</f>
        <v>3467.0673930565654</v>
      </c>
      <c r="F14" s="116">
        <f ca="1">SUM(F11:F13)</f>
        <v>4336.983655537927</v>
      </c>
      <c r="I14" s="113">
        <f ca="1">SUM(I11:I13)</f>
        <v>4876.5074836401745</v>
      </c>
      <c r="J14" s="107">
        <f ca="1">SUM(J11:J13)</f>
        <v>3494.3453518268816</v>
      </c>
      <c r="K14" s="113">
        <f ca="1">SUM(K11:K13)</f>
        <v>4337.0224873386269</v>
      </c>
    </row>
    <row r="15" spans="2:11">
      <c r="D15" s="78"/>
      <c r="F15" s="92"/>
      <c r="I15" s="104"/>
      <c r="J15" s="17"/>
      <c r="K15" s="17"/>
    </row>
    <row r="16" spans="2:11">
      <c r="B16" s="73" t="s">
        <v>132</v>
      </c>
      <c r="C16" s="94" t="s">
        <v>115</v>
      </c>
      <c r="D16" s="88" t="str">
        <f>D4</f>
        <v>Excluders</v>
      </c>
      <c r="E16" s="88" t="str">
        <f>E4</f>
        <v>No Size Limit</v>
      </c>
      <c r="F16" s="93" t="str">
        <f>F4</f>
        <v>Reduce DMR</v>
      </c>
      <c r="I16" s="99" t="str">
        <f>I4</f>
        <v>Excluders</v>
      </c>
      <c r="J16" s="99" t="str">
        <f>J4</f>
        <v>No Size Limit</v>
      </c>
      <c r="K16" s="100" t="str">
        <f>K4</f>
        <v>Reduce DMR</v>
      </c>
    </row>
    <row r="17" spans="2:11">
      <c r="B17" s="8" t="s">
        <v>106</v>
      </c>
      <c r="C17" s="68">
        <f ca="1">'Status Quo'!C4</f>
        <v>0.60367371601208453</v>
      </c>
      <c r="D17" s="85">
        <f ca="1">'Excluders (1)'!C4</f>
        <v>0.60367371601208453</v>
      </c>
      <c r="E17" s="85">
        <f ca="1">'No Size Limit (1)'!$C4</f>
        <v>0.60367371601208464</v>
      </c>
      <c r="F17" s="85">
        <f ca="1">'Reduce DMR (1)'!$C4</f>
        <v>0.60367371601208453</v>
      </c>
      <c r="I17" s="108">
        <f ca="1">'Excluders (2)'!C4</f>
        <v>0.66809126427893861</v>
      </c>
      <c r="J17" s="108">
        <f ca="1">'No Size Limit (2)'!$C4</f>
        <v>0.61858540861471256</v>
      </c>
      <c r="K17" s="108">
        <f ca="1">'Reduce DMR (2)'!$C4</f>
        <v>0.60369590821877639</v>
      </c>
    </row>
    <row r="18" spans="2:11">
      <c r="B18" s="8" t="s">
        <v>107</v>
      </c>
      <c r="C18" s="68">
        <f ca="1">'Status Quo'!C5</f>
        <v>0.22513595166163136</v>
      </c>
      <c r="D18" s="85">
        <f ca="1">'Excluders (1)'!C5</f>
        <v>0.22513595166163139</v>
      </c>
      <c r="E18" s="85">
        <f ca="1">'No Size Limit (1)'!$C5</f>
        <v>0.22513595166163142</v>
      </c>
      <c r="F18" s="85">
        <f ca="1">'Reduce DMR (1)'!$C5</f>
        <v>0.22513595166163142</v>
      </c>
      <c r="I18" s="108">
        <f ca="1">'Excluders (2)'!C5</f>
        <v>0.14059652307787143</v>
      </c>
      <c r="J18" s="108">
        <f ca="1">'No Size Limit (2)'!$C5</f>
        <v>0.21250706704393413</v>
      </c>
      <c r="K18" s="108">
        <f ca="1">'Reduce DMR (2)'!$C5</f>
        <v>0.22510660828435136</v>
      </c>
    </row>
    <row r="19" spans="2:11">
      <c r="B19" s="51" t="s">
        <v>108</v>
      </c>
      <c r="C19" s="72">
        <f ca="1">'Status Quo'!C6</f>
        <v>0.171190332326284</v>
      </c>
      <c r="D19" s="86">
        <f ca="1">'Excluders (1)'!C6</f>
        <v>0.17119033232628403</v>
      </c>
      <c r="E19" s="86">
        <f ca="1">'No Size Limit (1)'!$C6</f>
        <v>0.17119033232628394</v>
      </c>
      <c r="F19" s="85">
        <f ca="1">'Reduce DMR (1)'!$C6</f>
        <v>0.171190332326284</v>
      </c>
      <c r="I19" s="108">
        <f ca="1">'Excluders (2)'!C6</f>
        <v>0.1913122126431899</v>
      </c>
      <c r="J19" s="109">
        <f ca="1">'No Size Limit (2)'!$C6</f>
        <v>0.16890752434135328</v>
      </c>
      <c r="K19" s="108">
        <f ca="1">'Reduce DMR (2)'!$C6</f>
        <v>0.17119748349687239</v>
      </c>
    </row>
    <row r="20" spans="2:11">
      <c r="B20" s="50" t="s">
        <v>72</v>
      </c>
      <c r="C20" s="69">
        <f ca="1">SUM(C17:C19)</f>
        <v>0.99999999999999989</v>
      </c>
      <c r="D20" s="87">
        <f ca="1">SUM(D17:D19)</f>
        <v>0.99999999999999989</v>
      </c>
      <c r="E20" s="87">
        <f ca="1">SUM(E17:E19)</f>
        <v>1</v>
      </c>
      <c r="F20" s="95">
        <f ca="1">SUM(F17:F19)</f>
        <v>1</v>
      </c>
      <c r="I20" s="114">
        <f ca="1">SUM(I17:I19)</f>
        <v>0.99999999999999989</v>
      </c>
      <c r="J20" s="110">
        <f ca="1">SUM(J17:J19)</f>
        <v>0.99999999999999989</v>
      </c>
      <c r="K20" s="114">
        <f ca="1">SUM(K17:K19)</f>
        <v>1.0000000000000002</v>
      </c>
    </row>
    <row r="21" spans="2:11">
      <c r="D21" s="78"/>
      <c r="F21" s="92"/>
      <c r="I21" s="104"/>
      <c r="J21" s="17"/>
      <c r="K21" s="17"/>
    </row>
    <row r="22" spans="2:11">
      <c r="B22" s="73" t="s">
        <v>133</v>
      </c>
      <c r="C22" s="94" t="s">
        <v>115</v>
      </c>
      <c r="D22" s="88" t="str">
        <f>D4</f>
        <v>Excluders</v>
      </c>
      <c r="E22" s="88" t="str">
        <f>E4</f>
        <v>No Size Limit</v>
      </c>
      <c r="F22" s="93" t="str">
        <f>F4</f>
        <v>Reduce DMR</v>
      </c>
      <c r="I22" s="99" t="str">
        <f>I4</f>
        <v>Excluders</v>
      </c>
      <c r="J22" s="99" t="str">
        <f>J4</f>
        <v>No Size Limit</v>
      </c>
      <c r="K22" s="100" t="str">
        <f>K4</f>
        <v>Reduce DMR</v>
      </c>
    </row>
    <row r="23" spans="2:11">
      <c r="B23" s="8" t="s">
        <v>106</v>
      </c>
      <c r="C23" s="68">
        <f ca="1">'Status Quo'!C11</f>
        <v>0.27765604524278548</v>
      </c>
      <c r="D23" s="85">
        <f ca="1">'Excluders (1)'!C11</f>
        <v>0.18937605481277703</v>
      </c>
      <c r="E23" s="85">
        <f ca="1">'No Size Limit (1)'!$C11</f>
        <v>0.26267796046128206</v>
      </c>
      <c r="F23" s="85">
        <f ca="1">'Reduce DMR (1)'!$C11</f>
        <v>0.27762975583012267</v>
      </c>
      <c r="I23" s="108">
        <f ca="1">'Excluders (2)'!C11</f>
        <v>0.27765604524292214</v>
      </c>
      <c r="J23" s="108">
        <f ca="1">'No Size Limit (2)'!$C11</f>
        <v>0.2776560452429222</v>
      </c>
      <c r="K23" s="108">
        <f ca="1">'Reduce DMR (2)'!$C11</f>
        <v>0.2776560452429222</v>
      </c>
    </row>
    <row r="24" spans="2:11">
      <c r="B24" s="8" t="s">
        <v>107</v>
      </c>
      <c r="C24" s="68">
        <f ca="1">'Status Quo'!C12</f>
        <v>0.53959687512155796</v>
      </c>
      <c r="D24" s="85">
        <f ca="1">'Excluders (1)'!C12</f>
        <v>0.68590159109961824</v>
      </c>
      <c r="E24" s="85">
        <f ca="1">'No Size Limit (1)'!$C12</f>
        <v>0.5572423125181114</v>
      </c>
      <c r="F24" s="85">
        <f ca="1">'Reduce DMR (1)'!$C12</f>
        <v>0.539640642492481</v>
      </c>
      <c r="I24" s="108">
        <f ca="1">'Excluders (2)'!C12</f>
        <v>0.53959687512124954</v>
      </c>
      <c r="J24" s="108">
        <f ca="1">'No Size Limit (2)'!$C12</f>
        <v>0.53959687512124965</v>
      </c>
      <c r="K24" s="108">
        <f ca="1">'Reduce DMR (2)'!$C12</f>
        <v>0.53959687512124965</v>
      </c>
    </row>
    <row r="25" spans="2:11">
      <c r="B25" s="51" t="s">
        <v>108</v>
      </c>
      <c r="C25" s="72">
        <f ca="1">'Status Quo'!C13</f>
        <v>0.18274707963565662</v>
      </c>
      <c r="D25" s="86">
        <f ca="1">'Excluders (1)'!C13</f>
        <v>0.12472235408760465</v>
      </c>
      <c r="E25" s="85">
        <f ca="1">'No Size Limit (1)'!$C13</f>
        <v>0.18007972702060651</v>
      </c>
      <c r="F25" s="85">
        <f ca="1">'Reduce DMR (1)'!$C13</f>
        <v>0.18272960167739627</v>
      </c>
      <c r="I25" s="108">
        <f ca="1">'Excluders (2)'!C13</f>
        <v>0.18274707963582812</v>
      </c>
      <c r="J25" s="108">
        <f ca="1">'No Size Limit (2)'!$C13</f>
        <v>0.18274707963582817</v>
      </c>
      <c r="K25" s="108">
        <f ca="1">'Reduce DMR (2)'!$C13</f>
        <v>0.18274707963582815</v>
      </c>
    </row>
    <row r="26" spans="2:11">
      <c r="B26" s="50" t="s">
        <v>72</v>
      </c>
      <c r="C26" s="69">
        <f ca="1">SUM(C23:C25)</f>
        <v>1</v>
      </c>
      <c r="D26" s="87">
        <f ca="1">SUM(D23:D25)</f>
        <v>0.99999999999999989</v>
      </c>
      <c r="E26" s="95">
        <f ca="1">SUM(E23:E25)</f>
        <v>1</v>
      </c>
      <c r="F26" s="95">
        <f ca="1">SUM(F23:F25)</f>
        <v>1</v>
      </c>
      <c r="I26" s="114">
        <f ca="1">SUM(I23:I25)</f>
        <v>0.99999999999999978</v>
      </c>
      <c r="J26" s="114">
        <f ca="1">SUM(J23:J25)</f>
        <v>1</v>
      </c>
      <c r="K26" s="114">
        <f ca="1">SUM(K23:K25)</f>
        <v>1</v>
      </c>
    </row>
    <row r="27" spans="2:11">
      <c r="D27" s="78"/>
      <c r="F27" s="92"/>
      <c r="I27" s="104"/>
      <c r="J27" s="17"/>
      <c r="K27" s="17"/>
    </row>
    <row r="28" spans="2:11">
      <c r="B28" s="64" t="s">
        <v>135</v>
      </c>
      <c r="C28" s="94" t="s">
        <v>115</v>
      </c>
      <c r="D28" s="88" t="str">
        <f>D4</f>
        <v>Excluders</v>
      </c>
      <c r="E28" s="88" t="str">
        <f>E4</f>
        <v>No Size Limit</v>
      </c>
      <c r="F28" s="93" t="str">
        <f>F4</f>
        <v>Reduce DMR</v>
      </c>
      <c r="I28" s="99" t="str">
        <f>I4</f>
        <v>Excluders</v>
      </c>
      <c r="J28" s="99" t="str">
        <f>J4</f>
        <v>No Size Limit</v>
      </c>
      <c r="K28" s="100" t="str">
        <f>K4</f>
        <v>Reduce DMR</v>
      </c>
    </row>
    <row r="29" spans="2:11">
      <c r="B29" s="8" t="s">
        <v>106</v>
      </c>
      <c r="C29" s="75">
        <f ca="1">avg_wt1</f>
        <v>32.829519858945936</v>
      </c>
      <c r="D29" s="89">
        <f ca="1">'Excluders (1)'!avg_wt1</f>
        <v>33.915434437508672</v>
      </c>
      <c r="E29" s="89">
        <f ca="1">'No Size Limit (1)'!avg_wt1</f>
        <v>32.950103460052745</v>
      </c>
      <c r="F29" s="89">
        <f ca="1">'Reduce DMR (1)'!avg_wt1</f>
        <v>32.829778469783371</v>
      </c>
      <c r="I29" s="111">
        <f ca="1">'Excluders (2)'!avg_wt1</f>
        <v>32.740320817388721</v>
      </c>
      <c r="J29" s="111">
        <f ca="1">'No Size Limit (2)'!avg_wt1</f>
        <v>32.778692847420388</v>
      </c>
      <c r="K29" s="111">
        <f ca="1">'Reduce DMR (2)'!avg_wt1</f>
        <v>32.829493850203768</v>
      </c>
    </row>
    <row r="30" spans="2:11">
      <c r="B30" s="8" t="s">
        <v>107</v>
      </c>
      <c r="C30" s="75">
        <f ca="1">avg_wt2</f>
        <v>6.3000620093714117</v>
      </c>
      <c r="D30" s="89">
        <f ca="1">'Excluders (1)'!avg_wt2</f>
        <v>3.4922331007707221</v>
      </c>
      <c r="E30" s="89">
        <f ca="1">'No Size Limit (1)'!avg_wt2</f>
        <v>5.7926717289753364</v>
      </c>
      <c r="F30" s="89">
        <f ca="1">'Reduce DMR (1)'!avg_wt2</f>
        <v>6.2990042015055181</v>
      </c>
      <c r="I30" s="111">
        <f ca="1">'Excluders (2)'!avg_wt2</f>
        <v>3.5453525340933685</v>
      </c>
      <c r="J30" s="111">
        <f ca="1">'No Size Limit (2)'!avg_wt2</f>
        <v>5.7943275790919966</v>
      </c>
      <c r="K30" s="111">
        <f ca="1">'Reduce DMR (2)'!avg_wt2</f>
        <v>6.2990043288756556</v>
      </c>
    </row>
    <row r="31" spans="2:11">
      <c r="B31" s="51" t="s">
        <v>108</v>
      </c>
      <c r="C31" s="76">
        <f ca="1">avg_wt3</f>
        <v>14.14484481449548</v>
      </c>
      <c r="D31" s="90">
        <f ca="1">'Excluders (1)'!avg_wt3</f>
        <v>14.603438226291829</v>
      </c>
      <c r="E31" s="89">
        <f ca="1">'No Size Limit (1)'!avg_wt3</f>
        <v>13.629896640494129</v>
      </c>
      <c r="F31" s="89">
        <f ca="1">'Reduce DMR (1)'!avg_wt3</f>
        <v>14.144969773699161</v>
      </c>
      <c r="I31" s="112">
        <f ca="1">'Excluders (2)'!avg_wt3</f>
        <v>14.244477390889649</v>
      </c>
      <c r="J31" s="111">
        <f ca="1">'No Size Limit (2)'!avg_wt3</f>
        <v>13.598707855867941</v>
      </c>
      <c r="K31" s="111">
        <f ca="1">'Reduce DMR (2)'!avg_wt3</f>
        <v>14.144904489715213</v>
      </c>
    </row>
    <row r="32" spans="2:11">
      <c r="B32" s="50" t="s">
        <v>131</v>
      </c>
      <c r="C32" s="77">
        <f ca="1">AVERAGE(C29:C31)</f>
        <v>17.758142227604274</v>
      </c>
      <c r="D32" s="91">
        <f ca="1">AVERAGE(D29:D31)</f>
        <v>17.337035254857074</v>
      </c>
      <c r="E32" s="96">
        <f ca="1">AVERAGE(E29:E31)</f>
        <v>17.457557276507405</v>
      </c>
      <c r="F32" s="96">
        <f ca="1">AVERAGE(F29:F31)</f>
        <v>17.757917481662684</v>
      </c>
      <c r="I32" s="115">
        <f ca="1">AVERAGE(I29:I31)</f>
        <v>16.843383580790579</v>
      </c>
      <c r="J32" s="115">
        <f ca="1">AVERAGE(J29:J31)</f>
        <v>17.390576094126775</v>
      </c>
      <c r="K32" s="115">
        <f ca="1">AVERAGE(K29:K31)</f>
        <v>17.757800889598212</v>
      </c>
    </row>
    <row r="33" spans="3:9">
      <c r="I33" s="17"/>
    </row>
    <row r="40" spans="3:9">
      <c r="C40" s="54" t="s">
        <v>129</v>
      </c>
      <c r="D40" s="54"/>
      <c r="E40" s="54"/>
      <c r="F40" s="54"/>
    </row>
    <row r="41" spans="3:9">
      <c r="C41" s="56"/>
      <c r="D41" s="53" t="s">
        <v>106</v>
      </c>
      <c r="E41" s="53" t="s">
        <v>107</v>
      </c>
      <c r="F41" s="53" t="s">
        <v>108</v>
      </c>
    </row>
    <row r="42" spans="3:9">
      <c r="C42" s="57" t="s">
        <v>106</v>
      </c>
      <c r="D42" s="52">
        <f ca="1">'Status Quo'!G47</f>
        <v>1</v>
      </c>
      <c r="E42" s="52">
        <f ca="1">'Status Quo'!H47</f>
        <v>0.49437000276321835</v>
      </c>
      <c r="F42" s="52">
        <f ca="1">'Status Quo'!I47</f>
        <v>0.49000026732177521</v>
      </c>
    </row>
    <row r="43" spans="3:9">
      <c r="C43" s="57" t="s">
        <v>107</v>
      </c>
      <c r="D43" s="52">
        <f ca="1">'Status Quo'!G48</f>
        <v>2.022776451667025</v>
      </c>
      <c r="E43" s="52">
        <f ca="1">'Status Quo'!H48</f>
        <v>1.0000000000000002</v>
      </c>
      <c r="F43" s="52">
        <f ca="1">'Status Quo'!I48</f>
        <v>0.66147781371747916</v>
      </c>
    </row>
    <row r="44" spans="3:9">
      <c r="C44" s="58" t="s">
        <v>108</v>
      </c>
      <c r="D44" s="55">
        <f ca="1">'Status Quo'!G49</f>
        <v>2.0408152131543971</v>
      </c>
      <c r="E44" s="55">
        <f ca="1">'Status Quo'!H49</f>
        <v>1.5117665011015855</v>
      </c>
      <c r="F44" s="55">
        <f ca="1">'Status Quo'!I49</f>
        <v>0.99999999999999944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abSelected="1" workbookViewId="0">
      <pane xSplit="10" topLeftCell="K1" activePane="topRight" state="frozen"/>
      <selection pane="topRight" activeCell="B63" sqref="B63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9">
        <v>24977</v>
      </c>
      <c r="F4" s="49">
        <f ca="1">ye_1</f>
        <v>27569.439422456111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0.22513595166163136</v>
      </c>
      <c r="E5" s="49">
        <v>9315</v>
      </c>
      <c r="F5" s="49">
        <f ca="1">ye_2</f>
        <v>10281.832414628601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</v>
      </c>
      <c r="E6" s="49">
        <v>7083</v>
      </c>
      <c r="F6" s="49">
        <f ca="1">ye_3</f>
        <v>7818.1662901572099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0.39999999998752639</v>
      </c>
      <c r="J7" t="s">
        <v>7</v>
      </c>
      <c r="K7" s="1">
        <f>1</f>
        <v>1</v>
      </c>
      <c r="L7" s="1">
        <f ca="1">K7*EXP(-K8)</f>
        <v>0.86054628842775249</v>
      </c>
      <c r="M7" s="1">
        <f t="shared" ref="M7:AH7" ca="1" si="4">L7*EXP(-L8)</f>
        <v>0.73888597186711336</v>
      </c>
      <c r="N7" s="1">
        <f t="shared" ca="1" si="4"/>
        <v>0.62547678946795504</v>
      </c>
      <c r="O7" s="1">
        <f t="shared" ca="1" si="4"/>
        <v>0.52415231951812991</v>
      </c>
      <c r="P7" s="1">
        <f t="shared" ca="1" si="4"/>
        <v>0.43961860234571987</v>
      </c>
      <c r="Q7" s="1">
        <f t="shared" ca="1" si="4"/>
        <v>0.36925873197496756</v>
      </c>
      <c r="R7" s="1">
        <f t="shared" ca="1" si="4"/>
        <v>0.30776942926488982</v>
      </c>
      <c r="S7" s="1">
        <f t="shared" ca="1" si="4"/>
        <v>0.25483993958634343</v>
      </c>
      <c r="T7" s="1">
        <f t="shared" ca="1" si="4"/>
        <v>0.21108564572102484</v>
      </c>
      <c r="U7" s="1">
        <f t="shared" ca="1" si="4"/>
        <v>0.17524127063330214</v>
      </c>
      <c r="V7" s="1">
        <f t="shared" ca="1" si="4"/>
        <v>0.14576678542097282</v>
      </c>
      <c r="W7" s="1">
        <f t="shared" ca="1" si="4"/>
        <v>0.1212604958765181</v>
      </c>
      <c r="X7" s="1">
        <f t="shared" ca="1" si="4"/>
        <v>0.10044442788519782</v>
      </c>
      <c r="Y7" s="1">
        <f t="shared" ca="1" si="4"/>
        <v>8.2084387601109324E-2</v>
      </c>
      <c r="Z7" s="1">
        <f t="shared" ca="1" si="4"/>
        <v>6.5126856185556664E-2</v>
      </c>
      <c r="AA7" s="1">
        <f t="shared" ca="1" si="4"/>
        <v>4.9225311135593523E-2</v>
      </c>
      <c r="AB7" s="1">
        <f t="shared" ca="1" si="4"/>
        <v>3.5369390085964326E-2</v>
      </c>
      <c r="AC7" s="1">
        <f t="shared" ca="1" si="4"/>
        <v>2.452415604623082E-2</v>
      </c>
      <c r="AD7" s="1">
        <f t="shared" ca="1" si="4"/>
        <v>1.6689203122081109E-2</v>
      </c>
      <c r="AE7" s="1">
        <f t="shared" ca="1" si="4"/>
        <v>1.1263078954454137E-2</v>
      </c>
      <c r="AF7" s="1">
        <f t="shared" ca="1" si="4"/>
        <v>7.5750407668483894E-3</v>
      </c>
      <c r="AG7" s="1">
        <f t="shared" ca="1" si="4"/>
        <v>5.0876406663585855E-3</v>
      </c>
      <c r="AH7" s="1">
        <f t="shared" ca="1" si="4"/>
        <v>3.4151767680497946E-3</v>
      </c>
      <c r="AI7" s="1">
        <f ca="1">AH7*EXP(-AH8)/(1-EXP(-AI8))</f>
        <v>6.9681775007769649E-3</v>
      </c>
    </row>
    <row r="8" spans="1:35">
      <c r="A8" s="5"/>
      <c r="B8" s="26"/>
      <c r="C8" s="26"/>
      <c r="E8" t="s">
        <v>111</v>
      </c>
      <c r="F8">
        <f ca="1">SUMXMY2(E4:E6,F4:F6)</f>
        <v>8195976.5512646604</v>
      </c>
      <c r="J8" t="s">
        <v>11</v>
      </c>
      <c r="K8" s="1">
        <f ca="1">M+f1_*flt1_ +f2_*flt2_ +f3_*flt3_</f>
        <v>0.15018787229880268</v>
      </c>
      <c r="L8" s="1">
        <f t="shared" ref="L8:AI8" ca="1" si="5">M+f1_*flt1_ +f2_*flt2_ +f3_*flt3_</f>
        <v>0.15242379822646618</v>
      </c>
      <c r="M8" s="1">
        <f t="shared" ca="1" si="5"/>
        <v>0.16662938640392982</v>
      </c>
      <c r="N8" s="1">
        <f t="shared" ca="1" si="5"/>
        <v>0.17673189386961452</v>
      </c>
      <c r="O8" s="1">
        <f t="shared" ca="1" si="5"/>
        <v>0.17587479002115142</v>
      </c>
      <c r="P8" s="1">
        <f t="shared" ca="1" si="5"/>
        <v>0.17440996916307894</v>
      </c>
      <c r="Q8" s="1">
        <f t="shared" ca="1" si="5"/>
        <v>0.18214667265394865</v>
      </c>
      <c r="R8" s="1">
        <f t="shared" ca="1" si="5"/>
        <v>0.18871523616193231</v>
      </c>
      <c r="S8" s="1">
        <f t="shared" ca="1" si="5"/>
        <v>0.18837170517273222</v>
      </c>
      <c r="T8" s="1">
        <f t="shared" ca="1" si="5"/>
        <v>0.18610024127332161</v>
      </c>
      <c r="U8" s="1">
        <f t="shared" ca="1" si="5"/>
        <v>0.1841557292990543</v>
      </c>
      <c r="V8" s="1">
        <f t="shared" ca="1" si="5"/>
        <v>0.18406689443690624</v>
      </c>
      <c r="W8" s="1">
        <f t="shared" ca="1" si="5"/>
        <v>0.18833647180501062</v>
      </c>
      <c r="X8" s="1">
        <f t="shared" ca="1" si="5"/>
        <v>0.20185678302319801</v>
      </c>
      <c r="Y8" s="1">
        <f t="shared" ca="1" si="5"/>
        <v>0.23141083361608392</v>
      </c>
      <c r="Z8" s="1">
        <f t="shared" ca="1" si="5"/>
        <v>0.27992905636924337</v>
      </c>
      <c r="AA8" s="1">
        <f t="shared" ca="1" si="5"/>
        <v>0.33056118594240652</v>
      </c>
      <c r="AB8" s="1">
        <f t="shared" ca="1" si="5"/>
        <v>0.36618816636429075</v>
      </c>
      <c r="AC8" s="1">
        <f t="shared" ca="1" si="5"/>
        <v>0.38489660217805993</v>
      </c>
      <c r="AD8" s="1">
        <f t="shared" ca="1" si="5"/>
        <v>0.39323196358874402</v>
      </c>
      <c r="AE8" s="1">
        <f t="shared" ca="1" si="5"/>
        <v>0.39667129397104622</v>
      </c>
      <c r="AF8" s="1">
        <f t="shared" ca="1" si="5"/>
        <v>0.3980445333495462</v>
      </c>
      <c r="AG8" s="1">
        <f t="shared" ca="1" si="5"/>
        <v>0.39858494587037679</v>
      </c>
      <c r="AH8" s="1">
        <f t="shared" ca="1" si="5"/>
        <v>0.39879573037086247</v>
      </c>
      <c r="AI8" s="1">
        <f t="shared" ca="1" si="5"/>
        <v>0.39887698646704206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0.86054628842775249</v>
      </c>
      <c r="L10" s="1">
        <f t="shared" ca="1" si="6"/>
        <v>0.85862432015956203</v>
      </c>
      <c r="M10" s="1">
        <f t="shared" ca="1" si="6"/>
        <v>0.84651328253995506</v>
      </c>
      <c r="N10" s="1">
        <f t="shared" ca="1" si="6"/>
        <v>0.83800442853200985</v>
      </c>
      <c r="O10" s="1">
        <f t="shared" ca="1" si="6"/>
        <v>0.83872299325103705</v>
      </c>
      <c r="P10" s="1">
        <f t="shared" ca="1" si="6"/>
        <v>0.83995247244924209</v>
      </c>
      <c r="Q10" s="1">
        <f t="shared" ca="1" si="6"/>
        <v>0.83347908286094052</v>
      </c>
      <c r="R10" s="1">
        <f t="shared" ca="1" si="6"/>
        <v>0.82802226392345424</v>
      </c>
      <c r="S10" s="1">
        <f t="shared" ca="1" si="6"/>
        <v>0.8283067640953744</v>
      </c>
      <c r="T10" s="1">
        <f t="shared" ca="1" si="6"/>
        <v>0.8301903714708514</v>
      </c>
      <c r="U10" s="1">
        <f t="shared" ca="1" si="6"/>
        <v>0.83180625713445322</v>
      </c>
      <c r="V10" s="1">
        <f t="shared" ca="1" si="6"/>
        <v>0.83188015381089164</v>
      </c>
      <c r="W10" s="1">
        <f t="shared" ca="1" si="6"/>
        <v>0.82833594864631199</v>
      </c>
      <c r="X10" s="1">
        <f t="shared" ca="1" si="6"/>
        <v>0.81721195818773573</v>
      </c>
      <c r="Y10" s="1">
        <f t="shared" ca="1" si="6"/>
        <v>0.79341343815637488</v>
      </c>
      <c r="Z10" s="1">
        <f t="shared" ca="1" si="6"/>
        <v>0.75583736140038549</v>
      </c>
      <c r="AA10" s="1">
        <f t="shared" ca="1" si="6"/>
        <v>0.71852039672309254</v>
      </c>
      <c r="AB10" s="1">
        <f t="shared" ca="1" si="6"/>
        <v>0.69337231958553813</v>
      </c>
      <c r="AC10" s="1">
        <f t="shared" ca="1" si="6"/>
        <v>0.68052099695582047</v>
      </c>
      <c r="AD10" s="1">
        <f t="shared" ca="1" si="6"/>
        <v>0.67487218365460544</v>
      </c>
      <c r="AE10" s="1">
        <f t="shared" ca="1" si="6"/>
        <v>0.6725550622063905</v>
      </c>
      <c r="AF10" s="1">
        <f t="shared" ca="1" si="6"/>
        <v>0.6716321169681716</v>
      </c>
      <c r="AG10" s="1">
        <f t="shared" ca="1" si="6"/>
        <v>0.67126925661873915</v>
      </c>
      <c r="AH10" s="1">
        <f t="shared" ca="1" si="6"/>
        <v>0.67112777837502569</v>
      </c>
      <c r="AI10" s="1">
        <f t="shared" ca="1" si="6"/>
        <v>0.67107324736723561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0.27765604524278548</v>
      </c>
      <c r="J11" t="s">
        <v>56</v>
      </c>
      <c r="K11" s="1">
        <f ca="1">1-sa</f>
        <v>0.13945371157224751</v>
      </c>
      <c r="L11" s="1">
        <f t="shared" ref="L11:AI11" ca="1" si="7">1-sa</f>
        <v>0.14137567984043797</v>
      </c>
      <c r="M11" s="1">
        <f t="shared" ca="1" si="7"/>
        <v>0.15348671746004494</v>
      </c>
      <c r="N11" s="1">
        <f t="shared" ca="1" si="7"/>
        <v>0.16199557146799015</v>
      </c>
      <c r="O11" s="1">
        <f t="shared" ca="1" si="7"/>
        <v>0.16127700674896295</v>
      </c>
      <c r="P11" s="1">
        <f t="shared" ca="1" si="7"/>
        <v>0.16004752755075791</v>
      </c>
      <c r="Q11" s="1">
        <f t="shared" ca="1" si="7"/>
        <v>0.16652091713905948</v>
      </c>
      <c r="R11" s="1">
        <f t="shared" ca="1" si="7"/>
        <v>0.17197773607654576</v>
      </c>
      <c r="S11" s="1">
        <f t="shared" ca="1" si="7"/>
        <v>0.1716932359046256</v>
      </c>
      <c r="T11" s="1">
        <f t="shared" ca="1" si="7"/>
        <v>0.1698096285291486</v>
      </c>
      <c r="U11" s="1">
        <f t="shared" ca="1" si="7"/>
        <v>0.16819374286554678</v>
      </c>
      <c r="V11" s="1">
        <f t="shared" ca="1" si="7"/>
        <v>0.16811984618910836</v>
      </c>
      <c r="W11" s="1">
        <f t="shared" ca="1" si="7"/>
        <v>0.17166405135368801</v>
      </c>
      <c r="X11" s="1">
        <f t="shared" ca="1" si="7"/>
        <v>0.18278804181226427</v>
      </c>
      <c r="Y11" s="1">
        <f t="shared" ca="1" si="7"/>
        <v>0.20658656184362512</v>
      </c>
      <c r="Z11" s="1">
        <f t="shared" ca="1" si="7"/>
        <v>0.24416263859961451</v>
      </c>
      <c r="AA11" s="1">
        <f t="shared" ca="1" si="7"/>
        <v>0.28147960327690746</v>
      </c>
      <c r="AB11" s="1">
        <f t="shared" ca="1" si="7"/>
        <v>0.30662768041446187</v>
      </c>
      <c r="AC11" s="1">
        <f t="shared" ca="1" si="7"/>
        <v>0.31947900304417953</v>
      </c>
      <c r="AD11" s="1">
        <f t="shared" ca="1" si="7"/>
        <v>0.32512781634539456</v>
      </c>
      <c r="AE11" s="1">
        <f t="shared" ca="1" si="7"/>
        <v>0.3274449377936095</v>
      </c>
      <c r="AF11" s="1">
        <f t="shared" ca="1" si="7"/>
        <v>0.3283678830318284</v>
      </c>
      <c r="AG11" s="1">
        <f t="shared" ca="1" si="7"/>
        <v>0.32873074338126085</v>
      </c>
      <c r="AH11" s="1">
        <f t="shared" ca="1" si="7"/>
        <v>0.32887222162497431</v>
      </c>
      <c r="AI11" s="1">
        <f t="shared" ca="1" si="7"/>
        <v>0.32892675263276439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0.53959687512155796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0.18274707963565662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0.39999999998752639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1.5559152614166371E-22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5.582680465883184E-3</v>
      </c>
      <c r="L19" s="4">
        <f t="shared" si="12"/>
        <v>7.2155520993819139E-2</v>
      </c>
      <c r="M19" s="4">
        <f t="shared" si="12"/>
        <v>0.49521506802419019</v>
      </c>
      <c r="N19" s="4">
        <f t="shared" si="12"/>
        <v>0.79572893685182389</v>
      </c>
      <c r="O19" s="4">
        <f t="shared" si="12"/>
        <v>0.76863029451041309</v>
      </c>
      <c r="P19" s="4">
        <f t="shared" ref="P19:Y19" si="14">((EXP(g*(ah-age)/gh)/(1+EXP((ah-age)/gh))) *(1/(1-g))*((1-g)/g)^g) *(sr_2+(1-sr_2)*dmr)</f>
        <v>0.70743533876272136</v>
      </c>
      <c r="Q19" s="4">
        <f t="shared" si="14"/>
        <v>0.6492599837541615</v>
      </c>
      <c r="R19" s="4">
        <f t="shared" si="14"/>
        <v>0.59574057607123032</v>
      </c>
      <c r="S19" s="4">
        <f t="shared" si="14"/>
        <v>0.54662506941470868</v>
      </c>
      <c r="T19" s="4">
        <f t="shared" si="14"/>
        <v>0.50155839141389946</v>
      </c>
      <c r="U19" s="4">
        <f t="shared" si="14"/>
        <v>0.46020722133927372</v>
      </c>
      <c r="V19" s="4">
        <f t="shared" si="14"/>
        <v>0.42226526227867622</v>
      </c>
      <c r="W19" s="4">
        <f t="shared" si="14"/>
        <v>0.38745144232994355</v>
      </c>
      <c r="X19" s="4">
        <f t="shared" si="14"/>
        <v>0.35550786098485632</v>
      </c>
      <c r="Y19" s="4">
        <f t="shared" si="14"/>
        <v>0.32619788033882458</v>
      </c>
      <c r="Z19" s="4">
        <f>Y19</f>
        <v>0.32619788033882458</v>
      </c>
      <c r="AA19" s="4">
        <f t="shared" ref="AA19:AI19" si="15">Z19</f>
        <v>0.32619788033882458</v>
      </c>
      <c r="AB19" s="4">
        <f t="shared" si="15"/>
        <v>0.32619788033882458</v>
      </c>
      <c r="AC19" s="4">
        <f t="shared" si="15"/>
        <v>0.32619788033882458</v>
      </c>
      <c r="AD19" s="4">
        <f t="shared" si="15"/>
        <v>0.32619788033882458</v>
      </c>
      <c r="AE19" s="4">
        <f t="shared" si="15"/>
        <v>0.32619788033882458</v>
      </c>
      <c r="AF19" s="4">
        <f t="shared" si="15"/>
        <v>0.32619788033882458</v>
      </c>
      <c r="AG19" s="4">
        <f t="shared" si="15"/>
        <v>0.32619788033882458</v>
      </c>
      <c r="AH19" s="4">
        <f t="shared" si="15"/>
        <v>0.32619788033882458</v>
      </c>
      <c r="AI19" s="4">
        <f t="shared" si="15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ref="AA20:AI20" si="17">Z20</f>
        <v>0.5562130005311563</v>
      </c>
      <c r="AB20" s="4">
        <f t="shared" si="17"/>
        <v>0.5562130005311563</v>
      </c>
      <c r="AC20" s="4">
        <f t="shared" si="17"/>
        <v>0.5562130005311563</v>
      </c>
      <c r="AD20" s="4">
        <f t="shared" si="17"/>
        <v>0.5562130005311563</v>
      </c>
      <c r="AE20" s="4">
        <f t="shared" si="17"/>
        <v>0.5562130005311563</v>
      </c>
      <c r="AF20" s="4">
        <f t="shared" si="17"/>
        <v>0.5562130005311563</v>
      </c>
      <c r="AG20" s="4">
        <f t="shared" si="17"/>
        <v>0.5562130005311563</v>
      </c>
      <c r="AH20" s="4">
        <f t="shared" si="17"/>
        <v>0.5562130005311563</v>
      </c>
      <c r="AI20" s="4">
        <f t="shared" si="17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8">wa*flt1_*(1-EXP(-za))/za</f>
        <v>5.2944610958570922E-9</v>
      </c>
      <c r="L22" s="1">
        <f t="shared" ca="1" si="18"/>
        <v>7.7496092470405872E-8</v>
      </c>
      <c r="M22" s="1">
        <f t="shared" ca="1" si="18"/>
        <v>5.4942380476490488E-7</v>
      </c>
      <c r="N22" s="1">
        <f t="shared" ca="1" si="18"/>
        <v>2.8510057588414898E-6</v>
      </c>
      <c r="O22" s="1">
        <f t="shared" ca="1" si="18"/>
        <v>1.2563579559153688E-5</v>
      </c>
      <c r="P22" s="1">
        <f t="shared" ca="1" si="18"/>
        <v>6.85486522640741E-5</v>
      </c>
      <c r="Q22" s="1">
        <f t="shared" ca="1" si="18"/>
        <v>8.8301089149712064E-4</v>
      </c>
      <c r="R22" s="1">
        <f t="shared" ca="1" si="18"/>
        <v>3.6786284952239471E-3</v>
      </c>
      <c r="S22" s="1">
        <f t="shared" ca="1" si="18"/>
        <v>1.2077304036764765E-2</v>
      </c>
      <c r="T22" s="1">
        <f t="shared" ca="1" si="18"/>
        <v>3.8012326926349371E-2</v>
      </c>
      <c r="U22" s="1">
        <f t="shared" ca="1" si="18"/>
        <v>0.11596128673305946</v>
      </c>
      <c r="V22" s="1">
        <f t="shared" ca="1" si="18"/>
        <v>0.3428413387693609</v>
      </c>
      <c r="W22" s="1">
        <f t="shared" ca="1" si="18"/>
        <v>0.97375734195118568</v>
      </c>
      <c r="X22" s="1">
        <f t="shared" ca="1" si="18"/>
        <v>2.5900106945378392</v>
      </c>
      <c r="Y22" s="1">
        <f t="shared" ca="1" si="18"/>
        <v>6.1229713362516041</v>
      </c>
      <c r="Z22" s="1">
        <f t="shared" ca="1" si="18"/>
        <v>11.983897410871849</v>
      </c>
      <c r="AA22" s="1">
        <f t="shared" ca="1" si="18"/>
        <v>18.764804612479256</v>
      </c>
      <c r="AB22" s="1">
        <f t="shared" ca="1" si="18"/>
        <v>24.456954326081991</v>
      </c>
      <c r="AC22" s="1">
        <f t="shared" ca="1" si="18"/>
        <v>28.543777395102577</v>
      </c>
      <c r="AD22" s="1">
        <f t="shared" ca="1" si="18"/>
        <v>31.514584650980797</v>
      </c>
      <c r="AE22" s="1">
        <f t="shared" ca="1" si="18"/>
        <v>33.876982619689855</v>
      </c>
      <c r="AF22" s="1">
        <f t="shared" ca="1" si="18"/>
        <v>35.919469933295282</v>
      </c>
      <c r="AG22" s="1">
        <f t="shared" ca="1" si="18"/>
        <v>37.777265875915056</v>
      </c>
      <c r="AH22" s="1">
        <f t="shared" ca="1" si="18"/>
        <v>39.509164128985553</v>
      </c>
      <c r="AI22" s="1">
        <f t="shared" ca="1" si="18"/>
        <v>41.140171203381357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9">wa*flt2_*(1-EXP(-za))/za</f>
        <v>2.6538334374221097E-4</v>
      </c>
      <c r="L23" s="1">
        <f t="shared" ca="1" si="19"/>
        <v>1.9637712454812942E-2</v>
      </c>
      <c r="M23" s="1">
        <f t="shared" ca="1" si="19"/>
        <v>0.37374511591016701</v>
      </c>
      <c r="N23" s="1">
        <f t="shared" ca="1" si="19"/>
        <v>1.2187788118918836</v>
      </c>
      <c r="O23" s="1">
        <f t="shared" ca="1" si="19"/>
        <v>2.0129240202234526</v>
      </c>
      <c r="P23" s="1">
        <f t="shared" ca="1" si="19"/>
        <v>2.8296412085515357</v>
      </c>
      <c r="Q23" s="1">
        <f t="shared" ca="1" si="19"/>
        <v>3.6505631390637392</v>
      </c>
      <c r="R23" s="1">
        <f t="shared" ca="1" si="19"/>
        <v>4.4478953524085574</v>
      </c>
      <c r="S23" s="1">
        <f t="shared" ca="1" si="19"/>
        <v>5.2041143147757545</v>
      </c>
      <c r="T23" s="1">
        <f t="shared" ca="1" si="19"/>
        <v>5.8881459428694294</v>
      </c>
      <c r="U23" s="1">
        <f t="shared" ca="1" si="19"/>
        <v>6.4789778625757455</v>
      </c>
      <c r="V23" s="1">
        <f t="shared" ca="1" si="19"/>
        <v>6.9627714784713861</v>
      </c>
      <c r="W23" s="1">
        <f t="shared" ca="1" si="19"/>
        <v>7.3271482220974686</v>
      </c>
      <c r="X23" s="1">
        <f t="shared" ca="1" si="19"/>
        <v>7.55492861411396</v>
      </c>
      <c r="Y23" s="1">
        <f t="shared" ca="1" si="19"/>
        <v>7.6258729675270809</v>
      </c>
      <c r="Z23" s="1">
        <f t="shared" ca="1" si="19"/>
        <v>8.2177326217487217</v>
      </c>
      <c r="AA23" s="1">
        <f t="shared" ca="1" si="19"/>
        <v>8.7594796093056839</v>
      </c>
      <c r="AB23" s="1">
        <f t="shared" ca="1" si="19"/>
        <v>9.3223616558796714</v>
      </c>
      <c r="AC23" s="1">
        <f t="shared" ca="1" si="19"/>
        <v>9.9241882197555373</v>
      </c>
      <c r="AD23" s="1">
        <f t="shared" ca="1" si="19"/>
        <v>10.544313602767083</v>
      </c>
      <c r="AE23" s="1">
        <f t="shared" ca="1" si="19"/>
        <v>11.161245054221286</v>
      </c>
      <c r="AF23" s="1">
        <f t="shared" ca="1" si="19"/>
        <v>11.762287065131753</v>
      </c>
      <c r="AG23" s="1">
        <f t="shared" ca="1" si="19"/>
        <v>12.341145504759181</v>
      </c>
      <c r="AH23" s="1">
        <f t="shared" ca="1" si="19"/>
        <v>12.89493102828237</v>
      </c>
      <c r="AI23" s="1">
        <f t="shared" ca="1" si="19"/>
        <v>13.422447891997781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20">wa*flt3_*(1-EXP(-za))/za</f>
        <v>1.070396040650005E-6</v>
      </c>
      <c r="L24" s="1">
        <f t="shared" ca="1" si="20"/>
        <v>2.1949444653171779E-5</v>
      </c>
      <c r="M24" s="1">
        <f t="shared" ca="1" si="20"/>
        <v>2.1750709015454765E-4</v>
      </c>
      <c r="N24" s="1">
        <f t="shared" ca="1" si="20"/>
        <v>1.5639818023416164E-3</v>
      </c>
      <c r="O24" s="1">
        <f t="shared" ca="1" si="20"/>
        <v>9.5323293289838133E-3</v>
      </c>
      <c r="P24" s="1">
        <f t="shared" ca="1" si="20"/>
        <v>0.13298365493417871</v>
      </c>
      <c r="Q24" s="1">
        <f t="shared" ca="1" si="20"/>
        <v>2.9277792666154112</v>
      </c>
      <c r="R24" s="1">
        <f t="shared" ca="1" si="20"/>
        <v>7.0113561452289437</v>
      </c>
      <c r="S24" s="1">
        <f t="shared" ca="1" si="20"/>
        <v>9.4830753649535566</v>
      </c>
      <c r="T24" s="1">
        <f t="shared" ca="1" si="20"/>
        <v>10.979244998934149</v>
      </c>
      <c r="U24" s="1">
        <f t="shared" ca="1" si="20"/>
        <v>11.964887856526477</v>
      </c>
      <c r="V24" s="1">
        <f t="shared" ca="1" si="20"/>
        <v>12.628293470491183</v>
      </c>
      <c r="W24" s="1">
        <f t="shared" ca="1" si="20"/>
        <v>13.02377461525503</v>
      </c>
      <c r="X24" s="1">
        <f t="shared" ca="1" si="20"/>
        <v>13.153469422030396</v>
      </c>
      <c r="Y24" s="1">
        <f t="shared" ca="1" si="20"/>
        <v>13.003179789310321</v>
      </c>
      <c r="Z24" s="1">
        <f t="shared" ca="1" si="20"/>
        <v>14.012383263673824</v>
      </c>
      <c r="AA24" s="1">
        <f t="shared" ca="1" si="20"/>
        <v>14.936137633765936</v>
      </c>
      <c r="AB24" s="1">
        <f t="shared" ca="1" si="20"/>
        <v>15.895930234946649</v>
      </c>
      <c r="AC24" s="1">
        <f t="shared" ca="1" si="20"/>
        <v>16.922128684013977</v>
      </c>
      <c r="AD24" s="1">
        <f t="shared" ca="1" si="20"/>
        <v>17.979529178560757</v>
      </c>
      <c r="AE24" s="1">
        <f t="shared" ca="1" si="20"/>
        <v>19.031483573172256</v>
      </c>
      <c r="AF24" s="1">
        <f t="shared" ca="1" si="20"/>
        <v>20.056344249723999</v>
      </c>
      <c r="AG24" s="1">
        <f t="shared" ca="1" si="20"/>
        <v>21.043378835152705</v>
      </c>
      <c r="AH24" s="1">
        <f t="shared" ca="1" si="20"/>
        <v>21.987660592500745</v>
      </c>
      <c r="AI24" s="1">
        <f t="shared" ca="1" si="20"/>
        <v>22.887150611544289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1.0341560654246277E-7</v>
      </c>
      <c r="L26">
        <f t="shared" ref="L26:AI26" ca="1" si="21">qa1_/wa</f>
        <v>2.6410729793179314E-7</v>
      </c>
      <c r="M26">
        <f t="shared" ca="1" si="21"/>
        <v>6.705713582900775E-7</v>
      </c>
      <c r="N26">
        <f t="shared" ca="1" si="21"/>
        <v>1.7061867360413856E-6</v>
      </c>
      <c r="O26">
        <f t="shared" ca="1" si="21"/>
        <v>4.399186481165493E-6</v>
      </c>
      <c r="P26">
        <f t="shared" ca="1" si="21"/>
        <v>1.5726495811777968E-5</v>
      </c>
      <c r="Q26">
        <f t="shared" ca="1" si="21"/>
        <v>1.4357287089019315E-4</v>
      </c>
      <c r="R26">
        <f t="shared" ca="1" si="21"/>
        <v>4.4900772558618767E-4</v>
      </c>
      <c r="S26">
        <f t="shared" ca="1" si="21"/>
        <v>1.1562459749632316E-3</v>
      </c>
      <c r="T26">
        <f t="shared" ca="1" si="21"/>
        <v>2.9544916474749786E-3</v>
      </c>
      <c r="U26">
        <f t="shared" ca="1" si="21"/>
        <v>7.5228873596012279E-3</v>
      </c>
      <c r="V26">
        <f t="shared" ca="1" si="21"/>
        <v>1.8990644119213019E-2</v>
      </c>
      <c r="W26">
        <f t="shared" ca="1" si="21"/>
        <v>4.6932963477783099E-2</v>
      </c>
      <c r="X26">
        <f t="shared" ca="1" si="21"/>
        <v>0.11036333945882597</v>
      </c>
      <c r="Y26">
        <f t="shared" ca="1" si="21"/>
        <v>0.23381489579014531</v>
      </c>
      <c r="Z26">
        <f t="shared" ca="1" si="21"/>
        <v>0.4149143353314057</v>
      </c>
      <c r="AA26">
        <f t="shared" ca="1" si="21"/>
        <v>0.5950342271679383</v>
      </c>
      <c r="AB26">
        <f t="shared" ca="1" si="21"/>
        <v>0.71657988336120704</v>
      </c>
      <c r="AC26">
        <f t="shared" ca="1" si="21"/>
        <v>0.77874600424715157</v>
      </c>
      <c r="AD26">
        <f t="shared" ca="1" si="21"/>
        <v>0.80608292850078744</v>
      </c>
      <c r="AE26">
        <f t="shared" ca="1" si="21"/>
        <v>0.8172985346658328</v>
      </c>
      <c r="AF26">
        <f t="shared" ca="1" si="21"/>
        <v>0.82176622706053304</v>
      </c>
      <c r="AG26">
        <f t="shared" ca="1" si="21"/>
        <v>0.82352277547956754</v>
      </c>
      <c r="AH26">
        <f t="shared" ca="1" si="21"/>
        <v>0.8242076570591883</v>
      </c>
      <c r="AI26">
        <f t="shared" ca="1" si="21"/>
        <v>0.82447163727359729</v>
      </c>
      <c r="AM26" s="44"/>
    </row>
    <row r="27" spans="1:39">
      <c r="A27" t="s">
        <v>14</v>
      </c>
      <c r="B27" s="28">
        <f ca="1">fbar*C27</f>
        <v>0.22695137358206613</v>
      </c>
      <c r="C27" s="36">
        <f ca="1">CHOOSE(C$25,E36,E39,1)</f>
        <v>2.4287424518301544</v>
      </c>
      <c r="E27" s="42">
        <f ca="1">f1_/(F4/(365*re*phib))</f>
        <v>2064.3253884977394</v>
      </c>
      <c r="J27" s="8" t="s">
        <v>31</v>
      </c>
      <c r="K27">
        <f t="shared" ref="K27:AI27" ca="1" si="22">qa2_/wa</f>
        <v>5.1836776137316673E-3</v>
      </c>
      <c r="L27">
        <f t="shared" ca="1" si="22"/>
        <v>6.6925479836067447E-2</v>
      </c>
      <c r="M27">
        <f t="shared" ca="1" si="22"/>
        <v>0.4561556449804775</v>
      </c>
      <c r="N27">
        <f t="shared" ca="1" si="22"/>
        <v>0.72937918016104042</v>
      </c>
      <c r="O27">
        <f t="shared" ca="1" si="22"/>
        <v>0.70483321219775186</v>
      </c>
      <c r="P27">
        <f t="shared" ca="1" si="22"/>
        <v>0.64917892832799584</v>
      </c>
      <c r="Q27">
        <f t="shared" ca="1" si="22"/>
        <v>0.59356213528993085</v>
      </c>
      <c r="R27">
        <f t="shared" ca="1" si="22"/>
        <v>0.54290325278110463</v>
      </c>
      <c r="S27">
        <f t="shared" ca="1" si="22"/>
        <v>0.49822677407067106</v>
      </c>
      <c r="T27">
        <f t="shared" ca="1" si="22"/>
        <v>0.45765359329429867</v>
      </c>
      <c r="U27">
        <f t="shared" ca="1" si="22"/>
        <v>0.42031803922379007</v>
      </c>
      <c r="V27">
        <f t="shared" ca="1" si="22"/>
        <v>0.38568136417181004</v>
      </c>
      <c r="W27">
        <f t="shared" ca="1" si="22"/>
        <v>0.35315243858899992</v>
      </c>
      <c r="X27">
        <f t="shared" ca="1" si="22"/>
        <v>0.32192421173590458</v>
      </c>
      <c r="Y27">
        <f t="shared" ca="1" si="22"/>
        <v>0.2912054614161862</v>
      </c>
      <c r="Z27">
        <f t="shared" ca="1" si="22"/>
        <v>0.28451971439532059</v>
      </c>
      <c r="AA27">
        <f t="shared" ca="1" si="22"/>
        <v>0.27776415941204263</v>
      </c>
      <c r="AB27">
        <f t="shared" ca="1" si="22"/>
        <v>0.27314181230232587</v>
      </c>
      <c r="AC27">
        <f t="shared" ca="1" si="22"/>
        <v>0.27075680329742507</v>
      </c>
      <c r="AD27">
        <f t="shared" ca="1" si="22"/>
        <v>0.26970341770582895</v>
      </c>
      <c r="AE27">
        <f t="shared" ca="1" si="22"/>
        <v>0.26927041673892865</v>
      </c>
      <c r="AF27">
        <f t="shared" ca="1" si="22"/>
        <v>0.26909779796490102</v>
      </c>
      <c r="AG27">
        <f t="shared" ca="1" si="22"/>
        <v>0.26902990894203488</v>
      </c>
      <c r="AH27">
        <f t="shared" ca="1" si="22"/>
        <v>0.26900343566021506</v>
      </c>
      <c r="AI27">
        <f t="shared" ca="1" si="22"/>
        <v>0.26899323133651404</v>
      </c>
    </row>
    <row r="28" spans="1:39">
      <c r="A28" t="s">
        <v>15</v>
      </c>
      <c r="B28" s="28">
        <f ca="1">fbar*C28</f>
        <v>3.3568266353080439E-2</v>
      </c>
      <c r="C28" s="36">
        <f ca="1">CHOOSE(C$25,E37,E40,1)</f>
        <v>0.35923410481843715</v>
      </c>
      <c r="E28" s="42">
        <f ca="1">f2_/(F5/(365*re*phib))</f>
        <v>818.71296036039905</v>
      </c>
      <c r="J28" s="8" t="s">
        <v>32</v>
      </c>
      <c r="K28">
        <f t="shared" ref="K28:AI28" ca="1" si="23">qa3_/wa</f>
        <v>2.0907823058911527E-5</v>
      </c>
      <c r="L28">
        <f t="shared" ca="1" si="23"/>
        <v>7.4803881507527599E-5</v>
      </c>
      <c r="M28">
        <f t="shared" ca="1" si="23"/>
        <v>2.6546724699172327E-4</v>
      </c>
      <c r="N28">
        <f t="shared" ca="1" si="23"/>
        <v>9.3596619308467909E-4</v>
      </c>
      <c r="O28">
        <f t="shared" ca="1" si="23"/>
        <v>3.3377823669313981E-3</v>
      </c>
      <c r="P28">
        <f t="shared" ca="1" si="23"/>
        <v>3.0509234292464122E-2</v>
      </c>
      <c r="Q28">
        <f t="shared" ca="1" si="23"/>
        <v>0.47604132484489237</v>
      </c>
      <c r="R28">
        <f t="shared" ca="1" si="23"/>
        <v>0.8557953270169335</v>
      </c>
      <c r="S28">
        <f t="shared" ca="1" si="23"/>
        <v>0.90788206437649144</v>
      </c>
      <c r="T28">
        <f t="shared" ca="1" si="23"/>
        <v>0.85335706250718768</v>
      </c>
      <c r="U28">
        <f t="shared" ca="1" si="23"/>
        <v>0.77621166641684158</v>
      </c>
      <c r="V28">
        <f t="shared" ca="1" si="23"/>
        <v>0.69950557302079874</v>
      </c>
      <c r="W28">
        <f t="shared" ca="1" si="23"/>
        <v>0.62771730905345469</v>
      </c>
      <c r="X28">
        <f t="shared" ca="1" si="23"/>
        <v>0.56048448523640637</v>
      </c>
      <c r="Y28">
        <f t="shared" ca="1" si="23"/>
        <v>0.49654603303097733</v>
      </c>
      <c r="Z28">
        <f t="shared" ca="1" si="23"/>
        <v>0.48514589944517589</v>
      </c>
      <c r="AA28">
        <f t="shared" ca="1" si="23"/>
        <v>0.47362673352172091</v>
      </c>
      <c r="AB28">
        <f t="shared" ca="1" si="23"/>
        <v>0.46574498532421088</v>
      </c>
      <c r="AC28">
        <f t="shared" ca="1" si="23"/>
        <v>0.46167821145820132</v>
      </c>
      <c r="AD28">
        <f t="shared" ca="1" si="23"/>
        <v>0.45988204172218278</v>
      </c>
      <c r="AE28">
        <f t="shared" ca="1" si="23"/>
        <v>0.45914371452403435</v>
      </c>
      <c r="AF28">
        <f t="shared" ca="1" si="23"/>
        <v>0.45884937537581499</v>
      </c>
      <c r="AG28">
        <f t="shared" ca="1" si="23"/>
        <v>0.45873361509842669</v>
      </c>
      <c r="AH28">
        <f t="shared" ca="1" si="23"/>
        <v>0.45868847445097788</v>
      </c>
      <c r="AI28">
        <f t="shared" ca="1" si="23"/>
        <v>0.45867107465212498</v>
      </c>
    </row>
    <row r="29" spans="1:39">
      <c r="A29" t="s">
        <v>19</v>
      </c>
      <c r="B29" s="28">
        <f ca="1">fbar*C29</f>
        <v>1.9812315490241414E-2</v>
      </c>
      <c r="C29" s="36">
        <f ca="1">CHOOSE(C$25,E38,E41,1)</f>
        <v>0.2120234433514081</v>
      </c>
      <c r="E29" s="42">
        <f ca="1">f3_/(F6/(365*re*phib))</f>
        <v>635.48251459065807</v>
      </c>
    </row>
    <row r="30" spans="1:39">
      <c r="A30" t="s">
        <v>95</v>
      </c>
      <c r="B30" s="28">
        <v>9.3443985141795999E-2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0.28033195542538802</v>
      </c>
      <c r="G31">
        <f ca="1">SUMPRODUCT(dlz1_,wa,ma)</f>
        <v>-18.897639980162683</v>
      </c>
      <c r="H31">
        <f ca="1">Ro/(reck-1)*phie/phif^2*dphif</f>
        <v>-5849.4517993054715</v>
      </c>
      <c r="J31" s="8" t="s">
        <v>52</v>
      </c>
      <c r="K31">
        <v>0</v>
      </c>
      <c r="L31">
        <f t="shared" ref="L31:AH31" ca="1" si="24">K31*sa-K$7*K18*K$10</f>
        <v>-9.584403883770149E-8</v>
      </c>
      <c r="M31">
        <f t="shared" ca="1" si="24"/>
        <v>-2.9152848535999295E-7</v>
      </c>
      <c r="N31">
        <f t="shared" ca="1" si="24"/>
        <v>-6.9964341125386474E-7</v>
      </c>
      <c r="O31">
        <f t="shared" ca="1" si="24"/>
        <v>-1.5624610906191459E-6</v>
      </c>
      <c r="P31">
        <f t="shared" ca="1" si="24"/>
        <v>-3.4214075809606793E-6</v>
      </c>
      <c r="Q31">
        <f t="shared" ca="1" si="24"/>
        <v>-9.1799427179589411E-6</v>
      </c>
      <c r="R31">
        <f t="shared" ca="1" si="24"/>
        <v>-5.5934926969679513E-5</v>
      </c>
      <c r="S31">
        <f t="shared" ca="1" si="24"/>
        <v>-1.7189264796138793E-4</v>
      </c>
      <c r="T31">
        <f t="shared" ca="1" si="24"/>
        <v>-4.1047947863049477E-4</v>
      </c>
      <c r="U31">
        <f t="shared" ca="1" si="24"/>
        <v>-9.0885828147845276E-4</v>
      </c>
      <c r="V31">
        <f t="shared" ca="1" si="24"/>
        <v>-1.956717000432841E-3</v>
      </c>
      <c r="W31">
        <f t="shared" ca="1" si="24"/>
        <v>-4.1420680163607804E-3</v>
      </c>
      <c r="X31">
        <f t="shared" ca="1" si="24"/>
        <v>-8.556952079553256E-3</v>
      </c>
      <c r="Y31">
        <f t="shared" ca="1" si="24"/>
        <v>-1.6793368464674562E-2</v>
      </c>
      <c r="Z31">
        <f t="shared" ca="1" si="24"/>
        <v>-2.9750497530034517E-2</v>
      </c>
      <c r="AA31">
        <f t="shared" ca="1" si="24"/>
        <v>-4.479249947557716E-2</v>
      </c>
      <c r="AB31">
        <f t="shared" ca="1" si="24"/>
        <v>-5.5773666396525791E-2</v>
      </c>
      <c r="AC31">
        <f t="shared" ca="1" si="24"/>
        <v>-5.8942212351595455E-2</v>
      </c>
      <c r="AD31">
        <f t="shared" ca="1" si="24"/>
        <v>-5.543634778179761E-2</v>
      </c>
      <c r="AE31">
        <f t="shared" ca="1" si="24"/>
        <v>-4.8264734519488012E-2</v>
      </c>
      <c r="AF31">
        <f t="shared" ca="1" si="24"/>
        <v>-3.9916092690568152E-2</v>
      </c>
      <c r="AG31">
        <f t="shared" ca="1" si="24"/>
        <v>-3.1862435402336749E-2</v>
      </c>
      <c r="AH31">
        <f t="shared" ca="1" si="24"/>
        <v>-2.4793883210148818E-2</v>
      </c>
      <c r="AI31">
        <f ca="1">(AH31*sa-AH$7*AH18*AH$10)/oa-AH$7*AH$10*flt1_*sa/oa^2</f>
        <v>-7.1762216969635362E-2</v>
      </c>
    </row>
    <row r="32" spans="1:39">
      <c r="A32" s="12" t="s">
        <v>22</v>
      </c>
      <c r="B32" s="12"/>
      <c r="C32" s="12"/>
      <c r="G32">
        <f ca="1">SUMPRODUCT(dlz2_,wa,ma)</f>
        <v>-106.63282272358626</v>
      </c>
      <c r="H32">
        <f ca="1">Ro/(reck-1)*phie/phif^2*dphif</f>
        <v>-33006.426061680817</v>
      </c>
      <c r="J32" s="8" t="s">
        <v>53</v>
      </c>
      <c r="K32">
        <v>0</v>
      </c>
      <c r="L32">
        <f t="shared" ref="L32:AH32" ca="1" si="25">K32*sa-K$7*K19*K$10</f>
        <v>-4.80415495439389E-3</v>
      </c>
      <c r="M32">
        <f t="shared" ca="1" si="25"/>
        <v>-5.7381483235370512E-2</v>
      </c>
      <c r="N32">
        <f t="shared" ca="1" si="25"/>
        <v>-0.3578314679109012</v>
      </c>
      <c r="O32">
        <f t="shared" ca="1" si="25"/>
        <v>-0.71720464780422244</v>
      </c>
      <c r="P32">
        <f t="shared" ca="1" si="25"/>
        <v>-0.94032199296849139</v>
      </c>
      <c r="Q32">
        <f t="shared" ca="1" si="25"/>
        <v>-1.0449653884391541</v>
      </c>
      <c r="R32">
        <f t="shared" ca="1" si="25"/>
        <v>-1.0650769813015901</v>
      </c>
      <c r="S32">
        <f t="shared" ca="1" si="25"/>
        <v>-1.0340289603095156</v>
      </c>
      <c r="T32">
        <f t="shared" ca="1" si="25"/>
        <v>-0.9738255924156789</v>
      </c>
      <c r="U32">
        <f t="shared" ca="1" si="25"/>
        <v>-0.89792795093719424</v>
      </c>
      <c r="V32">
        <f t="shared" ca="1" si="25"/>
        <v>-0.814051369218876</v>
      </c>
      <c r="W32">
        <f t="shared" ca="1" si="25"/>
        <v>-0.72551210826408707</v>
      </c>
      <c r="X32">
        <f t="shared" ca="1" si="25"/>
        <v>-0.63181450914153303</v>
      </c>
      <c r="Y32">
        <f t="shared" ca="1" si="25"/>
        <v>-0.53047176703138832</v>
      </c>
      <c r="Z32">
        <f t="shared" ca="1" si="25"/>
        <v>-0.4221946231312646</v>
      </c>
      <c r="AA32">
        <f t="shared" ca="1" si="25"/>
        <v>-0.31941264025808253</v>
      </c>
      <c r="AB32">
        <f t="shared" ca="1" si="25"/>
        <v>-0.23300930335560632</v>
      </c>
      <c r="AC32">
        <f t="shared" ca="1" si="25"/>
        <v>-0.16656745113891749</v>
      </c>
      <c r="AD32">
        <f t="shared" ca="1" si="25"/>
        <v>-0.11785572215887</v>
      </c>
      <c r="AE32">
        <f t="shared" ca="1" si="25"/>
        <v>-8.2938455028969654E-2</v>
      </c>
      <c r="AF32">
        <f t="shared" ca="1" si="25"/>
        <v>-5.8175092370802518E-2</v>
      </c>
      <c r="AG32">
        <f t="shared" ca="1" si="25"/>
        <v>-4.0710728610766862E-2</v>
      </c>
      <c r="AH32">
        <f t="shared" ca="1" si="25"/>
        <v>-2.8436124271292801E-2</v>
      </c>
      <c r="AI32">
        <f ca="1">(AH32*sa-AH$7*AH19*AH$10)/oa-AH$7*AH$10*flt2_*sa/oa^2</f>
        <v>-6.492547905246189E-2</v>
      </c>
    </row>
    <row r="33" spans="1:35">
      <c r="A33" s="61" t="s">
        <v>130</v>
      </c>
      <c r="B33" s="62">
        <f ca="1">SUMPRODUCT(lz,wa)</f>
        <v>35.627798782057113</v>
      </c>
      <c r="C33" s="61"/>
      <c r="D33" s="63"/>
      <c r="E33" s="63"/>
      <c r="G33">
        <f ca="1">SUMPRODUCT(dlz3_,wa,ma)</f>
        <v>-99.360983067179106</v>
      </c>
      <c r="H33">
        <f ca="1">Ro/(reck-1)*phie/phif^2*dphif</f>
        <v>-30755.548406741735</v>
      </c>
      <c r="J33" s="8" t="s">
        <v>54</v>
      </c>
      <c r="K33">
        <v>0</v>
      </c>
      <c r="L33">
        <f t="shared" ref="L33:AH33" ca="1" si="26">K33*sa-K$7*K20*K$10</f>
        <v>-1.9377057992183254E-5</v>
      </c>
      <c r="M33">
        <f t="shared" ca="1" si="26"/>
        <v>-7.5993793541559004E-5</v>
      </c>
      <c r="N33">
        <f t="shared" ca="1" si="26"/>
        <v>-2.439446191823322E-4</v>
      </c>
      <c r="O33">
        <f t="shared" ca="1" si="26"/>
        <v>-7.3981842408150228E-4</v>
      </c>
      <c r="P33">
        <f t="shared" ca="1" si="26"/>
        <v>-2.2215789640507612E-3</v>
      </c>
      <c r="Q33">
        <f t="shared" ca="1" si="26"/>
        <v>-1.4128418029718932E-2</v>
      </c>
      <c r="R33">
        <f t="shared" ca="1" si="26"/>
        <v>-0.17195770149220366</v>
      </c>
      <c r="S33">
        <f t="shared" ca="1" si="26"/>
        <v>-0.38174995111985288</v>
      </c>
      <c r="T33">
        <f t="shared" ca="1" si="26"/>
        <v>-0.52718221002615084</v>
      </c>
      <c r="U33">
        <f t="shared" ca="1" si="26"/>
        <v>-0.60240321551713572</v>
      </c>
      <c r="V33">
        <f t="shared" ca="1" si="26"/>
        <v>-0.62501097220045576</v>
      </c>
      <c r="W33">
        <f t="shared" ca="1" si="26"/>
        <v>-0.6105872975812513</v>
      </c>
      <c r="X33">
        <f t="shared" ca="1" si="26"/>
        <v>-0.56815358142281214</v>
      </c>
      <c r="Y33">
        <f t="shared" ca="1" si="26"/>
        <v>-0.50158723876097711</v>
      </c>
      <c r="Z33">
        <f t="shared" ca="1" si="26"/>
        <v>-0.41534277915133166</v>
      </c>
      <c r="AA33">
        <f t="shared" ca="1" si="26"/>
        <v>-0.32581201646069485</v>
      </c>
      <c r="AB33">
        <f t="shared" ca="1" si="26"/>
        <v>-0.24558194818886467</v>
      </c>
      <c r="AC33">
        <f t="shared" ca="1" si="26"/>
        <v>-0.18076432663580716</v>
      </c>
      <c r="AD33">
        <f t="shared" ca="1" si="26"/>
        <v>-0.1312755675885682</v>
      </c>
      <c r="AE33">
        <f t="shared" ca="1" si="26"/>
        <v>-9.4554718466184962E-2</v>
      </c>
      <c r="AF33">
        <f t="shared" ca="1" si="26"/>
        <v>-6.7719321886847844E-2</v>
      </c>
      <c r="AG33">
        <f t="shared" ca="1" si="26"/>
        <v>-4.8287710742369108E-2</v>
      </c>
      <c r="AH33">
        <f t="shared" ca="1" si="26"/>
        <v>-3.4306789750843315E-2</v>
      </c>
      <c r="AI33">
        <f ca="1">(AH33*sa-AH$7*AH20*AH$10)/oa-AH$7*AH$10*flt3_*sa/oa^2</f>
        <v>-8.1775530586942424E-2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17.137594381347661</v>
      </c>
      <c r="F35" s="37"/>
      <c r="G35" s="1">
        <f ca="1">SUM(dqa11_)</f>
        <v>284.83969826210171</v>
      </c>
      <c r="H35" s="1">
        <f ca="1">SUM(dqa12_)</f>
        <v>285.94780948056746</v>
      </c>
      <c r="I35" s="11">
        <f ca="1">SUM(dqa13_)</f>
        <v>285.2798128097545</v>
      </c>
      <c r="J35" s="8" t="s">
        <v>62</v>
      </c>
      <c r="K35">
        <f ca="1">flt1_*qa1_+lz*wa*flt1_^2/za*(sa-oa/za)</f>
        <v>3.0221483824908324E-16</v>
      </c>
      <c r="L35">
        <f t="shared" ref="L35:AI35" ca="1" si="27">flt1_*qa1_+lz*wa*flt1_^2/za*(sa-oa/za)</f>
        <v>1.2813127754390889E-14</v>
      </c>
      <c r="M35">
        <f t="shared" ca="1" si="27"/>
        <v>2.563091401356478E-13</v>
      </c>
      <c r="N35">
        <f t="shared" ca="1" si="27"/>
        <v>3.6960513795410133E-12</v>
      </c>
      <c r="O35">
        <f t="shared" ca="1" si="27"/>
        <v>4.4939057219862022E-11</v>
      </c>
      <c r="P35">
        <f t="shared" ca="1" si="27"/>
        <v>9.2404779709251138E-10</v>
      </c>
      <c r="Q35">
        <f t="shared" ca="1" si="27"/>
        <v>1.1384644913775041E-7</v>
      </c>
      <c r="R35">
        <f t="shared" ca="1" si="27"/>
        <v>1.542338820136374E-6</v>
      </c>
      <c r="S35">
        <f t="shared" ca="1" si="27"/>
        <v>1.3429916404115865E-5</v>
      </c>
      <c r="T35">
        <f t="shared" ca="1" si="27"/>
        <v>1.1049357955160826E-4</v>
      </c>
      <c r="U35">
        <f t="shared" ca="1" si="27"/>
        <v>8.7402921769853749E-4</v>
      </c>
      <c r="V35">
        <f t="shared" ca="1" si="27"/>
        <v>6.6247495684162118E-3</v>
      </c>
      <c r="W35">
        <f t="shared" ca="1" si="27"/>
        <v>4.7195308768593749E-2</v>
      </c>
      <c r="X35">
        <f t="shared" ca="1" si="27"/>
        <v>0.30034150191526604</v>
      </c>
      <c r="Y35">
        <f t="shared" ca="1" si="27"/>
        <v>1.540391710736666</v>
      </c>
      <c r="Z35">
        <f t="shared" ca="1" si="27"/>
        <v>5.5236783120597686</v>
      </c>
      <c r="AA35">
        <f t="shared" ca="1" si="27"/>
        <v>12.807674645328184</v>
      </c>
      <c r="AB35">
        <f t="shared" ca="1" si="27"/>
        <v>20.581958644503825</v>
      </c>
      <c r="AC35">
        <f t="shared" ca="1" si="27"/>
        <v>26.47254120795936</v>
      </c>
      <c r="AD35">
        <f t="shared" ca="1" si="27"/>
        <v>30.4849584534016</v>
      </c>
      <c r="AE35">
        <f t="shared" ca="1" si="27"/>
        <v>33.364715663747262</v>
      </c>
      <c r="AF35">
        <f t="shared" ca="1" si="27"/>
        <v>35.654176756234023</v>
      </c>
      <c r="AG35">
        <f t="shared" ca="1" si="27"/>
        <v>37.631706257875365</v>
      </c>
      <c r="AH35">
        <f t="shared" ca="1" si="27"/>
        <v>39.424374023910381</v>
      </c>
      <c r="AI35">
        <f t="shared" ca="1" si="27"/>
        <v>40.998361416221094</v>
      </c>
    </row>
    <row r="36" spans="1:35">
      <c r="A36" t="s">
        <v>33</v>
      </c>
      <c r="B36" s="1">
        <f ca="1">SUMPRODUCT(lz,ta1_)</f>
        <v>0.18356485561267399</v>
      </c>
      <c r="C36" s="29">
        <f ca="1">B11/(phi_t1/SUM(B$36:B$38))</f>
        <v>6.0191912250320616</v>
      </c>
      <c r="E36" s="38">
        <f ca="1">C36/AVERAGE(C$36:C$38)</f>
        <v>2.4287424518303875</v>
      </c>
      <c r="G36" s="1">
        <f ca="1">SUM(dqa21_)</f>
        <v>285.94780948056746</v>
      </c>
      <c r="H36" s="1">
        <f ca="1">SUM(dqa22_)</f>
        <v>60.962622500182256</v>
      </c>
      <c r="I36" s="11">
        <f ca="1">SUM(dqa23_)</f>
        <v>282.60621554467218</v>
      </c>
      <c r="J36" s="8" t="s">
        <v>63</v>
      </c>
      <c r="K36">
        <f t="shared" ref="K36:AI36" ca="1" si="28">flt2_*qa2_+lz*wa*flt2_^2/za*(sa-oa/za)</f>
        <v>7.5931081269063352E-7</v>
      </c>
      <c r="L36">
        <f t="shared" ca="1" si="28"/>
        <v>8.2276790021452626E-4</v>
      </c>
      <c r="M36">
        <f t="shared" ca="1" si="28"/>
        <v>0.11860423633881813</v>
      </c>
      <c r="N36">
        <f t="shared" ca="1" si="28"/>
        <v>0.67544750493471728</v>
      </c>
      <c r="O36">
        <f t="shared" ca="1" si="28"/>
        <v>1.1535911966493575</v>
      </c>
      <c r="P36">
        <f t="shared" ca="1" si="28"/>
        <v>1.5745604480993183</v>
      </c>
      <c r="Q36">
        <f t="shared" ca="1" si="28"/>
        <v>1.9458398676571083</v>
      </c>
      <c r="R36">
        <f t="shared" ca="1" si="28"/>
        <v>2.2548468522236123</v>
      </c>
      <c r="S36">
        <f t="shared" ca="1" si="28"/>
        <v>2.4936010150364285</v>
      </c>
      <c r="T36">
        <f t="shared" ca="1" si="28"/>
        <v>2.6512169236084233</v>
      </c>
      <c r="U36">
        <f t="shared" ca="1" si="28"/>
        <v>2.7284304731274527</v>
      </c>
      <c r="V36">
        <f t="shared" ca="1" si="28"/>
        <v>2.732419551420461</v>
      </c>
      <c r="W36">
        <f t="shared" ca="1" si="28"/>
        <v>2.6721897601588047</v>
      </c>
      <c r="X36">
        <f t="shared" ca="1" si="28"/>
        <v>2.5554828084898435</v>
      </c>
      <c r="Y36">
        <f t="shared" ca="1" si="28"/>
        <v>2.3893834605127791</v>
      </c>
      <c r="Z36">
        <f t="shared" ca="1" si="28"/>
        <v>2.5973843912082657</v>
      </c>
      <c r="AA36">
        <f t="shared" ca="1" si="28"/>
        <v>2.7908648454058897</v>
      </c>
      <c r="AB36">
        <f t="shared" ca="1" si="28"/>
        <v>2.9904314433431263</v>
      </c>
      <c r="AC36">
        <f t="shared" ca="1" si="28"/>
        <v>3.2000939318286914</v>
      </c>
      <c r="AD36">
        <f t="shared" ca="1" si="28"/>
        <v>3.4127074463083504</v>
      </c>
      <c r="AE36">
        <f t="shared" ca="1" si="28"/>
        <v>3.6216232747721175</v>
      </c>
      <c r="AF36">
        <f t="shared" ca="1" si="28"/>
        <v>3.8232625581710948</v>
      </c>
      <c r="AG36">
        <f t="shared" ca="1" si="28"/>
        <v>4.0160934535778905</v>
      </c>
      <c r="AH36">
        <f t="shared" ca="1" si="28"/>
        <v>4.1995926805038932</v>
      </c>
      <c r="AI36">
        <f t="shared" ca="1" si="28"/>
        <v>4.3641308495947957</v>
      </c>
    </row>
    <row r="37" spans="1:35">
      <c r="A37" t="s">
        <v>34</v>
      </c>
      <c r="B37" s="1">
        <f ca="1">SUMPRODUCT(lz,ta2_)</f>
        <v>2.4118802013115204</v>
      </c>
      <c r="C37" s="29">
        <f ca="1">B12/(phi_t2/SUM(B$36:B$38))</f>
        <v>0.89029562184483813</v>
      </c>
      <c r="E37" s="38">
        <f ca="1">C37/AVERAGE(C$36:C$38)</f>
        <v>0.35923410481808943</v>
      </c>
      <c r="G37" s="1">
        <f ca="1">SUM(dqa31_)</f>
        <v>285.2798128097545</v>
      </c>
      <c r="H37" s="1">
        <f ca="1">SUM(dqa32_)</f>
        <v>282.60621554467218</v>
      </c>
      <c r="I37" s="1">
        <f ca="1">SUM(dqa33_)</f>
        <v>167.59468337947396</v>
      </c>
      <c r="J37" s="8" t="s">
        <v>64</v>
      </c>
      <c r="K37">
        <f t="shared" ref="K37:AI37" ca="1" si="29">flt3_*qa3_+lz*wa*flt3_^2/za*(sa-oa/za)</f>
        <v>1.2352681643259278E-11</v>
      </c>
      <c r="L37">
        <f t="shared" ca="1" si="29"/>
        <v>1.0278804821608936E-9</v>
      </c>
      <c r="M37">
        <f t="shared" ca="1" si="29"/>
        <v>4.0169459326811124E-8</v>
      </c>
      <c r="N37">
        <f t="shared" ca="1" si="29"/>
        <v>1.1122571385390235E-6</v>
      </c>
      <c r="O37">
        <f t="shared" ca="1" si="29"/>
        <v>2.5869929485459933E-5</v>
      </c>
      <c r="P37">
        <f t="shared" ca="1" si="29"/>
        <v>3.4777080840345817E-3</v>
      </c>
      <c r="Q37">
        <f t="shared" ca="1" si="29"/>
        <v>1.2515956084271003</v>
      </c>
      <c r="R37">
        <f t="shared" ca="1" si="29"/>
        <v>5.6028885559619672</v>
      </c>
      <c r="S37">
        <f t="shared" ca="1" si="29"/>
        <v>8.2800262673079423</v>
      </c>
      <c r="T37">
        <f t="shared" ca="1" si="29"/>
        <v>9.2179231774664707</v>
      </c>
      <c r="U37">
        <f t="shared" ca="1" si="29"/>
        <v>9.3050168565312692</v>
      </c>
      <c r="V37">
        <f t="shared" ca="1" si="29"/>
        <v>8.9881939009363627</v>
      </c>
      <c r="W37">
        <f t="shared" ca="1" si="29"/>
        <v>8.4425003068276503</v>
      </c>
      <c r="X37">
        <f t="shared" ca="1" si="29"/>
        <v>7.7462743181887221</v>
      </c>
      <c r="Y37">
        <f t="shared" ca="1" si="29"/>
        <v>6.947136865104409</v>
      </c>
      <c r="Z37">
        <f t="shared" ca="1" si="29"/>
        <v>7.5518999588024514</v>
      </c>
      <c r="AA37">
        <f t="shared" ca="1" si="29"/>
        <v>8.1144447400176833</v>
      </c>
      <c r="AB37">
        <f t="shared" ca="1" si="29"/>
        <v>8.6946849955000385</v>
      </c>
      <c r="AC37">
        <f t="shared" ca="1" si="29"/>
        <v>9.304279071569777</v>
      </c>
      <c r="AD37">
        <f t="shared" ca="1" si="29"/>
        <v>9.9224532612178713</v>
      </c>
      <c r="AE37">
        <f t="shared" ca="1" si="29"/>
        <v>10.529876421882502</v>
      </c>
      <c r="AF37">
        <f t="shared" ca="1" si="29"/>
        <v>11.116143014208227</v>
      </c>
      <c r="AG37">
        <f t="shared" ca="1" si="29"/>
        <v>11.676799202028388</v>
      </c>
      <c r="AH37">
        <f t="shared" ca="1" si="29"/>
        <v>12.210323546346993</v>
      </c>
      <c r="AI37">
        <f t="shared" ca="1" si="29"/>
        <v>12.688718579667793</v>
      </c>
    </row>
    <row r="38" spans="1:35">
      <c r="A38" t="s">
        <v>35</v>
      </c>
      <c r="B38" s="1">
        <f ca="1">SUMPRODUCT(lz,ta3_)</f>
        <v>1.3839819609943007</v>
      </c>
      <c r="C38" s="29">
        <f ca="1">B13/(phi_t3/SUM(B$36:B$38))</f>
        <v>0.52546108738733199</v>
      </c>
      <c r="E38" s="38">
        <f ca="1">C38/AVERAGE(C$36:C$38)</f>
        <v>0.21202344335152312</v>
      </c>
      <c r="G38" t="s">
        <v>69</v>
      </c>
      <c r="J38" s="8" t="s">
        <v>60</v>
      </c>
      <c r="K38">
        <f t="shared" ref="K38:AI38" ca="1" si="30">flt1_*qa1_+lz*wa*flt2_*flt1_/za*(sa-oa/za)</f>
        <v>-1.440826278379541E-11</v>
      </c>
      <c r="L38">
        <f t="shared" ca="1" si="30"/>
        <v>-2.3448687860228951E-9</v>
      </c>
      <c r="M38">
        <f t="shared" ca="1" si="30"/>
        <v>-9.7728453627042664E-8</v>
      </c>
      <c r="N38">
        <f t="shared" ca="1" si="30"/>
        <v>-6.8859441078765002E-7</v>
      </c>
      <c r="O38">
        <f t="shared" ca="1" si="30"/>
        <v>-2.4565972520882376E-6</v>
      </c>
      <c r="P38">
        <f t="shared" ca="1" si="30"/>
        <v>-1.0348506884546736E-5</v>
      </c>
      <c r="Q38">
        <f t="shared" ca="1" si="30"/>
        <v>-1.0249845876162204E-4</v>
      </c>
      <c r="R38">
        <f t="shared" ca="1" si="30"/>
        <v>-3.2482638581975549E-4</v>
      </c>
      <c r="S38">
        <f t="shared" ca="1" si="30"/>
        <v>-7.9948088006860879E-4</v>
      </c>
      <c r="T38">
        <f t="shared" ca="1" si="30"/>
        <v>-1.8267587358585362E-3</v>
      </c>
      <c r="U38">
        <f t="shared" ca="1" si="30"/>
        <v>-3.5773920487195397E-3</v>
      </c>
      <c r="V38">
        <f t="shared" ca="1" si="30"/>
        <v>-3.0994595721157989E-3</v>
      </c>
      <c r="W38">
        <f t="shared" ca="1" si="30"/>
        <v>2.7982737353943073E-2</v>
      </c>
      <c r="X38">
        <f t="shared" ca="1" si="30"/>
        <v>0.27097337332184029</v>
      </c>
      <c r="Y38">
        <f t="shared" ca="1" si="30"/>
        <v>1.5248589445071334</v>
      </c>
      <c r="Z38">
        <f t="shared" ca="1" si="30"/>
        <v>5.5792987645158876</v>
      </c>
      <c r="AA38">
        <f t="shared" ca="1" si="30"/>
        <v>12.970293675153716</v>
      </c>
      <c r="AB38">
        <f t="shared" ca="1" si="30"/>
        <v>20.797058362816927</v>
      </c>
      <c r="AC38">
        <f t="shared" ca="1" si="30"/>
        <v>26.673039881632043</v>
      </c>
      <c r="AD38">
        <f t="shared" ca="1" si="30"/>
        <v>30.644408114315766</v>
      </c>
      <c r="AE38">
        <f t="shared" ca="1" si="30"/>
        <v>33.483020461135702</v>
      </c>
      <c r="AF38">
        <f t="shared" ca="1" si="30"/>
        <v>35.739288623760274</v>
      </c>
      <c r="AG38">
        <f t="shared" ca="1" si="30"/>
        <v>37.692034615972624</v>
      </c>
      <c r="AH38">
        <f t="shared" ca="1" si="30"/>
        <v>39.466784085694279</v>
      </c>
      <c r="AI38">
        <f t="shared" ca="1" si="30"/>
        <v>41.088511850254932</v>
      </c>
    </row>
    <row r="39" spans="1:35">
      <c r="A39" s="1" t="s">
        <v>36</v>
      </c>
      <c r="B39" s="1">
        <f ca="1">SUMPRODUCT(lz,qa1_)</f>
        <v>6.0263460727408242</v>
      </c>
      <c r="C39" s="23">
        <f ca="1">B4/(phi_q1/SUM(B$39:B$41))</f>
        <v>4.0867897226044052</v>
      </c>
      <c r="D39" s="21"/>
      <c r="E39" s="39">
        <f ca="1">C39/AVERAGE(C$39:C$41)</f>
        <v>2.4287424518301544</v>
      </c>
      <c r="G39" s="1">
        <f ca="1">re*phi_q1+f1_*phi_q1*$H31+f1_*re*G35</f>
        <v>1416566.9922551173</v>
      </c>
      <c r="H39" s="1">
        <f ca="1">re*phi_q1+f1_*phi_q1*$H32+f1_*re*H35</f>
        <v>1384494.1451935219</v>
      </c>
      <c r="I39" s="1">
        <f ca="1">re*phi_q1+f1_*phi_q1*$H33+f1_*re*I35</f>
        <v>1384516.6789498595</v>
      </c>
      <c r="J39" s="8" t="s">
        <v>66</v>
      </c>
      <c r="K39">
        <f t="shared" ref="K39:AI39" ca="1" si="31">flt1_*qa1_+lz*wa*flt3_*flt1_/za*(sa-oa/za)</f>
        <v>-5.7526928833301056E-14</v>
      </c>
      <c r="L39">
        <f t="shared" ca="1" si="31"/>
        <v>-2.5988623527893155E-12</v>
      </c>
      <c r="M39">
        <f t="shared" ca="1" si="31"/>
        <v>-5.6474931242733524E-11</v>
      </c>
      <c r="N39">
        <f t="shared" ca="1" si="31"/>
        <v>-8.7832964124522958E-10</v>
      </c>
      <c r="O39">
        <f t="shared" ca="1" si="31"/>
        <v>-1.1573385292153361E-8</v>
      </c>
      <c r="P39">
        <f t="shared" ca="1" si="31"/>
        <v>-4.852255859708503E-7</v>
      </c>
      <c r="Q39">
        <f t="shared" ca="1" si="31"/>
        <v>-8.2177083540658409E-5</v>
      </c>
      <c r="R39">
        <f t="shared" ca="1" si="31"/>
        <v>-5.1307855298240068E-4</v>
      </c>
      <c r="S39">
        <f t="shared" ca="1" si="31"/>
        <v>-1.4694325056408455E-3</v>
      </c>
      <c r="T39">
        <f t="shared" ca="1" si="31"/>
        <v>-3.5126592779359572E-3</v>
      </c>
      <c r="U39">
        <f t="shared" ca="1" si="31"/>
        <v>-7.415209555818157E-3</v>
      </c>
      <c r="V39">
        <f t="shared" ca="1" si="31"/>
        <v>-1.1421710650004642E-2</v>
      </c>
      <c r="W39">
        <f t="shared" ca="1" si="31"/>
        <v>1.075621320868167E-2</v>
      </c>
      <c r="X39">
        <f t="shared" ca="1" si="31"/>
        <v>0.23785728378204213</v>
      </c>
      <c r="Y39">
        <f t="shared" ca="1" si="31"/>
        <v>1.4692834842979741</v>
      </c>
      <c r="Z39">
        <f t="shared" ca="1" si="31"/>
        <v>5.4937207007360351</v>
      </c>
      <c r="AA39">
        <f t="shared" ca="1" si="31"/>
        <v>12.869902919712667</v>
      </c>
      <c r="AB39">
        <f t="shared" ca="1" si="31"/>
        <v>20.703631814743844</v>
      </c>
      <c r="AC39">
        <f t="shared" ca="1" si="31"/>
        <v>26.597684954715504</v>
      </c>
      <c r="AD39">
        <f t="shared" ca="1" si="31"/>
        <v>30.587873670881141</v>
      </c>
      <c r="AE39">
        <f t="shared" ca="1" si="31"/>
        <v>33.442031830645504</v>
      </c>
      <c r="AF39">
        <f t="shared" ca="1" si="31"/>
        <v>35.71006656172586</v>
      </c>
      <c r="AG39">
        <f t="shared" ca="1" si="31"/>
        <v>37.671395012096667</v>
      </c>
      <c r="AH39">
        <f t="shared" ca="1" si="31"/>
        <v>39.452294725014838</v>
      </c>
      <c r="AI39">
        <f t="shared" ca="1" si="31"/>
        <v>41.057728403556119</v>
      </c>
    </row>
    <row r="40" spans="1:35">
      <c r="A40" s="1" t="s">
        <v>37</v>
      </c>
      <c r="B40" s="1">
        <f ca="1">SUMPRODUCT(lz,qa2_)</f>
        <v>15.194994827437784</v>
      </c>
      <c r="C40" s="23">
        <f ca="1">B5/(phi_q2/SUM(B$39:B$41))</f>
        <v>0.6044750634118079</v>
      </c>
      <c r="D40" s="21"/>
      <c r="E40" s="39">
        <f ca="1">C40/AVERAGE(C$39:C$41)</f>
        <v>0.35923410481843715</v>
      </c>
      <c r="G40" s="1">
        <f ca="1">re*phi_q1+f1_*phi_q1*$H32+f1_*re*G36</f>
        <v>1384494.1451935219</v>
      </c>
      <c r="H40" s="1">
        <f ca="1">re*phi_q2+f2_*phi_q2*$H32+f2_*re*H36</f>
        <v>330711.54090315552</v>
      </c>
      <c r="I40" s="1">
        <f ca="1">re*phi_q3+f3_*phi_q3*$H33+f3_*re*I36</f>
        <v>495547.56107126549</v>
      </c>
      <c r="J40" s="8" t="s">
        <v>65</v>
      </c>
      <c r="K40">
        <f t="shared" ref="K40:AI40" ca="1" si="32">flt1_*qa1_+lz*wa*flt1_*flt2_/za*(sa-oa/za)</f>
        <v>-1.4408262783795413E-11</v>
      </c>
      <c r="L40">
        <f t="shared" ca="1" si="32"/>
        <v>-2.3448687860228955E-9</v>
      </c>
      <c r="M40">
        <f t="shared" ca="1" si="32"/>
        <v>-9.7728453627042664E-8</v>
      </c>
      <c r="N40">
        <f t="shared" ca="1" si="32"/>
        <v>-6.8859441078764991E-7</v>
      </c>
      <c r="O40">
        <f t="shared" ca="1" si="32"/>
        <v>-2.4565972520882376E-6</v>
      </c>
      <c r="P40">
        <f t="shared" ca="1" si="32"/>
        <v>-1.0348506884546736E-5</v>
      </c>
      <c r="Q40">
        <f t="shared" ca="1" si="32"/>
        <v>-1.0249845876162204E-4</v>
      </c>
      <c r="R40">
        <f t="shared" ca="1" si="32"/>
        <v>-3.2482638581975549E-4</v>
      </c>
      <c r="S40">
        <f t="shared" ca="1" si="32"/>
        <v>-7.9948088006860857E-4</v>
      </c>
      <c r="T40">
        <f t="shared" ca="1" si="32"/>
        <v>-1.8267587358585362E-3</v>
      </c>
      <c r="U40">
        <f t="shared" ca="1" si="32"/>
        <v>-3.5773920487195397E-3</v>
      </c>
      <c r="V40">
        <f t="shared" ca="1" si="32"/>
        <v>-3.0994595721157989E-3</v>
      </c>
      <c r="W40">
        <f t="shared" ca="1" si="32"/>
        <v>2.798273735394307E-2</v>
      </c>
      <c r="X40">
        <f t="shared" ca="1" si="32"/>
        <v>0.27097337332184029</v>
      </c>
      <c r="Y40">
        <f t="shared" ca="1" si="32"/>
        <v>1.5248589445071334</v>
      </c>
      <c r="Z40">
        <f t="shared" ca="1" si="32"/>
        <v>5.5792987645158876</v>
      </c>
      <c r="AA40">
        <f t="shared" ca="1" si="32"/>
        <v>12.970293675153716</v>
      </c>
      <c r="AB40">
        <f t="shared" ca="1" si="32"/>
        <v>20.797058362816927</v>
      </c>
      <c r="AC40">
        <f t="shared" ca="1" si="32"/>
        <v>26.673039881632043</v>
      </c>
      <c r="AD40">
        <f t="shared" ca="1" si="32"/>
        <v>30.644408114315766</v>
      </c>
      <c r="AE40">
        <f t="shared" ca="1" si="32"/>
        <v>33.483020461135702</v>
      </c>
      <c r="AF40">
        <f t="shared" ca="1" si="32"/>
        <v>35.739288623760274</v>
      </c>
      <c r="AG40">
        <f t="shared" ca="1" si="32"/>
        <v>37.692034615972624</v>
      </c>
      <c r="AH40">
        <f t="shared" ca="1" si="32"/>
        <v>39.466784085694279</v>
      </c>
      <c r="AI40">
        <f t="shared" ca="1" si="32"/>
        <v>41.088511850254932</v>
      </c>
    </row>
    <row r="41" spans="1:35">
      <c r="A41" s="1" t="s">
        <v>38</v>
      </c>
      <c r="B41" s="1">
        <f ca="1">SUMPRODUCT(lz,qa3_)</f>
        <v>19.576210064325519</v>
      </c>
      <c r="C41" s="23">
        <f ca="1">B6/(phi_q3/SUM(B$39:B$41))</f>
        <v>0.35676702920344361</v>
      </c>
      <c r="D41" s="21"/>
      <c r="E41" s="39">
        <f ca="1">C41/AVERAGE(C$39:C$41)</f>
        <v>0.2120234433514081</v>
      </c>
      <c r="G41" s="1">
        <f ca="1">re*phi_q1+f1_*phi_q1*$H33+f1_*re*G37</f>
        <v>1384516.6789498595</v>
      </c>
      <c r="H41" s="1">
        <f ca="1">re*phi_q3+f3_*phi_q3*$H33+f3_*re*H37</f>
        <v>495547.56107126537</v>
      </c>
      <c r="I41" s="1">
        <f ca="1">re*phi_q3+f1_*phi_q3*$H33+f3_*re*I37</f>
        <v>324901.63724451372</v>
      </c>
      <c r="J41" s="8" t="s">
        <v>67</v>
      </c>
      <c r="K41">
        <f t="shared" ref="K41:AI41" ca="1" si="33">flt1_*qa1_+lz*wa*flt3_*flt2_/za*(sa-oa/za)</f>
        <v>-2.9130775013421097E-9</v>
      </c>
      <c r="L41">
        <f t="shared" ca="1" si="33"/>
        <v>-6.6415026409402852E-7</v>
      </c>
      <c r="M41">
        <f t="shared" ca="1" si="33"/>
        <v>-3.8689110604780165E-5</v>
      </c>
      <c r="N41">
        <f t="shared" ca="1" si="33"/>
        <v>-3.7774648788630258E-4</v>
      </c>
      <c r="O41">
        <f t="shared" ca="1" si="33"/>
        <v>-1.8639327830387267E-3</v>
      </c>
      <c r="P41">
        <f t="shared" ca="1" si="33"/>
        <v>-2.0078270950240399E-2</v>
      </c>
      <c r="Q41">
        <f t="shared" ca="1" si="33"/>
        <v>-0.34031147956282348</v>
      </c>
      <c r="R41">
        <f t="shared" ca="1" si="33"/>
        <v>-0.62256212919383347</v>
      </c>
      <c r="S41">
        <f t="shared" ca="1" si="33"/>
        <v>-0.63976539031778734</v>
      </c>
      <c r="T41">
        <f t="shared" ca="1" si="33"/>
        <v>-0.56305661555430897</v>
      </c>
      <c r="U41">
        <f t="shared" ca="1" si="33"/>
        <v>-0.46671294378547151</v>
      </c>
      <c r="V41">
        <f t="shared" ca="1" si="33"/>
        <v>-0.36960537436998031</v>
      </c>
      <c r="W41">
        <f t="shared" ca="1" si="33"/>
        <v>-0.24620739477040493</v>
      </c>
      <c r="X41">
        <f t="shared" ca="1" si="33"/>
        <v>8.8710107575184077E-2</v>
      </c>
      <c r="Y41">
        <f t="shared" ca="1" si="33"/>
        <v>1.4362969911696903</v>
      </c>
      <c r="Z41">
        <f t="shared" ca="1" si="33"/>
        <v>5.5587558950799911</v>
      </c>
      <c r="AA41">
        <f t="shared" ca="1" si="33"/>
        <v>12.999342061846249</v>
      </c>
      <c r="AB41">
        <f t="shared" ca="1" si="33"/>
        <v>20.843437044384206</v>
      </c>
      <c r="AC41">
        <f t="shared" ca="1" si="33"/>
        <v>26.71655024398326</v>
      </c>
      <c r="AD41">
        <f t="shared" ca="1" si="33"/>
        <v>30.678842022920918</v>
      </c>
      <c r="AE41">
        <f t="shared" ca="1" si="33"/>
        <v>33.508493352127559</v>
      </c>
      <c r="AF41">
        <f t="shared" ca="1" si="33"/>
        <v>35.757590451082059</v>
      </c>
      <c r="AG41">
        <f t="shared" ca="1" si="33"/>
        <v>37.705000209945375</v>
      </c>
      <c r="AH41">
        <f t="shared" ca="1" si="33"/>
        <v>39.475896794680672</v>
      </c>
      <c r="AI41">
        <f t="shared" ca="1" si="33"/>
        <v>41.107881003826755</v>
      </c>
    </row>
    <row r="42" spans="1:35">
      <c r="A42" s="1" t="s">
        <v>96</v>
      </c>
      <c r="B42" s="1">
        <f ca="1">SUMPRODUCT(lz/SUM(lz),len,ta1_)</f>
        <v>4.3875162197831648</v>
      </c>
      <c r="J42" s="8" t="s">
        <v>68</v>
      </c>
      <c r="K42">
        <f t="shared" ref="K42:AI42" ca="1" si="34">flt1_*qa1_+lz*wa*flt1_*flt3_/za*(sa-oa/za)</f>
        <v>-5.7526928833301056E-14</v>
      </c>
      <c r="L42">
        <f t="shared" ca="1" si="34"/>
        <v>-2.5988623527893167E-12</v>
      </c>
      <c r="M42">
        <f t="shared" ca="1" si="34"/>
        <v>-5.6474931242733524E-11</v>
      </c>
      <c r="N42">
        <f t="shared" ca="1" si="34"/>
        <v>-8.7832964124522958E-10</v>
      </c>
      <c r="O42">
        <f t="shared" ca="1" si="34"/>
        <v>-1.1573385292153361E-8</v>
      </c>
      <c r="P42">
        <f t="shared" ca="1" si="34"/>
        <v>-4.852255859708503E-7</v>
      </c>
      <c r="Q42">
        <f t="shared" ca="1" si="34"/>
        <v>-8.2177083540658409E-5</v>
      </c>
      <c r="R42">
        <f t="shared" ca="1" si="34"/>
        <v>-5.1307855298240058E-4</v>
      </c>
      <c r="S42">
        <f t="shared" ca="1" si="34"/>
        <v>-1.4694325056408455E-3</v>
      </c>
      <c r="T42">
        <f t="shared" ca="1" si="34"/>
        <v>-3.5126592779359572E-3</v>
      </c>
      <c r="U42">
        <f t="shared" ca="1" si="34"/>
        <v>-7.415209555818157E-3</v>
      </c>
      <c r="V42">
        <f t="shared" ca="1" si="34"/>
        <v>-1.1421710650004642E-2</v>
      </c>
      <c r="W42">
        <f t="shared" ca="1" si="34"/>
        <v>1.075621320868167E-2</v>
      </c>
      <c r="X42">
        <f t="shared" ca="1" si="34"/>
        <v>0.23785728378204213</v>
      </c>
      <c r="Y42">
        <f t="shared" ca="1" si="34"/>
        <v>1.4692834842979741</v>
      </c>
      <c r="Z42">
        <f t="shared" ca="1" si="34"/>
        <v>5.4937207007360351</v>
      </c>
      <c r="AA42">
        <f t="shared" ca="1" si="34"/>
        <v>12.869902919712667</v>
      </c>
      <c r="AB42">
        <f t="shared" ca="1" si="34"/>
        <v>20.703631814743844</v>
      </c>
      <c r="AC42">
        <f t="shared" ca="1" si="34"/>
        <v>26.597684954715504</v>
      </c>
      <c r="AD42">
        <f t="shared" ca="1" si="34"/>
        <v>30.587873670881141</v>
      </c>
      <c r="AE42">
        <f t="shared" ca="1" si="34"/>
        <v>33.442031830645504</v>
      </c>
      <c r="AF42">
        <f t="shared" ca="1" si="34"/>
        <v>35.71006656172586</v>
      </c>
      <c r="AG42">
        <f t="shared" ca="1" si="34"/>
        <v>37.671395012096667</v>
      </c>
      <c r="AH42">
        <f t="shared" ca="1" si="34"/>
        <v>39.452294725014838</v>
      </c>
      <c r="AI42">
        <f t="shared" ca="1" si="34"/>
        <v>41.057728403556119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-2.9130775013421093E-9</v>
      </c>
      <c r="L43">
        <f t="shared" ca="1" si="35"/>
        <v>-6.6415026409402863E-7</v>
      </c>
      <c r="M43">
        <f t="shared" ca="1" si="35"/>
        <v>-3.8689110604780165E-5</v>
      </c>
      <c r="N43">
        <f t="shared" ca="1" si="35"/>
        <v>-3.7774648788630258E-4</v>
      </c>
      <c r="O43">
        <f t="shared" ca="1" si="35"/>
        <v>-1.8639327830387267E-3</v>
      </c>
      <c r="P43">
        <f t="shared" ca="1" si="35"/>
        <v>-2.0078270950240399E-2</v>
      </c>
      <c r="Q43">
        <f t="shared" ca="1" si="35"/>
        <v>-0.34031147956282348</v>
      </c>
      <c r="R43">
        <f t="shared" ca="1" si="35"/>
        <v>-0.62256212919383347</v>
      </c>
      <c r="S43">
        <f t="shared" ca="1" si="35"/>
        <v>-0.63976539031778734</v>
      </c>
      <c r="T43">
        <f t="shared" ca="1" si="35"/>
        <v>-0.56305661555430897</v>
      </c>
      <c r="U43">
        <f t="shared" ca="1" si="35"/>
        <v>-0.46671294378547151</v>
      </c>
      <c r="V43">
        <f t="shared" ca="1" si="35"/>
        <v>-0.36960537436998042</v>
      </c>
      <c r="W43">
        <f t="shared" ca="1" si="35"/>
        <v>-0.24620739477040493</v>
      </c>
      <c r="X43">
        <f t="shared" ca="1" si="35"/>
        <v>8.8710107575184077E-2</v>
      </c>
      <c r="Y43">
        <f t="shared" ca="1" si="35"/>
        <v>1.4362969911696903</v>
      </c>
      <c r="Z43">
        <f t="shared" ca="1" si="35"/>
        <v>5.5587558950799911</v>
      </c>
      <c r="AA43">
        <f t="shared" ca="1" si="35"/>
        <v>12.999342061846249</v>
      </c>
      <c r="AB43">
        <f t="shared" ca="1" si="35"/>
        <v>20.843437044384206</v>
      </c>
      <c r="AC43">
        <f t="shared" ca="1" si="35"/>
        <v>26.71655024398326</v>
      </c>
      <c r="AD43">
        <f t="shared" ca="1" si="35"/>
        <v>30.678842022920918</v>
      </c>
      <c r="AE43">
        <f t="shared" ca="1" si="35"/>
        <v>33.508493352127559</v>
      </c>
      <c r="AF43">
        <f t="shared" ca="1" si="35"/>
        <v>35.757590451082059</v>
      </c>
      <c r="AG43">
        <f t="shared" ca="1" si="35"/>
        <v>37.705000209945375</v>
      </c>
      <c r="AH43">
        <f t="shared" ca="1" si="35"/>
        <v>39.475896794680672</v>
      </c>
      <c r="AI43">
        <f t="shared" ca="1" si="35"/>
        <v>41.107881003826755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0.39999999998752617</v>
      </c>
      <c r="G46" s="32" t="s">
        <v>94</v>
      </c>
      <c r="H46" s="32"/>
      <c r="I46" s="32"/>
      <c r="J46" s="8" t="s">
        <v>75</v>
      </c>
      <c r="K46">
        <f t="shared" ref="K46:AI46" ca="1" si="36">lz*qa1_</f>
        <v>5.2944610958570922E-9</v>
      </c>
      <c r="L46">
        <f t="shared" ca="1" si="36"/>
        <v>6.6688974743061672E-8</v>
      </c>
      <c r="M46">
        <f t="shared" ca="1" si="36"/>
        <v>4.0596154195064387E-7</v>
      </c>
      <c r="N46">
        <f t="shared" ca="1" si="36"/>
        <v>1.7832379287948259E-6</v>
      </c>
      <c r="O46">
        <f t="shared" ca="1" si="36"/>
        <v>6.5852293673809696E-6</v>
      </c>
      <c r="P46">
        <f t="shared" ca="1" si="36"/>
        <v>3.0135262701015023E-5</v>
      </c>
      <c r="Q46">
        <f t="shared" ca="1" si="36"/>
        <v>3.2605948211431241E-4</v>
      </c>
      <c r="R46">
        <f t="shared" ca="1" si="36"/>
        <v>1.1321693924526346E-3</v>
      </c>
      <c r="S46">
        <f t="shared" ca="1" si="36"/>
        <v>3.0777794310950343E-3</v>
      </c>
      <c r="T46">
        <f t="shared" ca="1" si="36"/>
        <v>8.0238565746071563E-3</v>
      </c>
      <c r="U46">
        <f t="shared" ca="1" si="36"/>
        <v>2.032120323137402E-2</v>
      </c>
      <c r="V46">
        <f t="shared" ca="1" si="36"/>
        <v>4.997487986183248E-2</v>
      </c>
      <c r="W46">
        <f t="shared" ca="1" si="36"/>
        <v>0.11807829814840098</v>
      </c>
      <c r="X46">
        <f t="shared" ca="1" si="36"/>
        <v>0.2601521424293971</v>
      </c>
      <c r="Y46">
        <f t="shared" ca="1" si="36"/>
        <v>0.50260035243535894</v>
      </c>
      <c r="Z46">
        <f t="shared" ca="1" si="36"/>
        <v>0.7804735632203158</v>
      </c>
      <c r="AA46">
        <f t="shared" ca="1" si="36"/>
        <v>0.92370334544791188</v>
      </c>
      <c r="AB46">
        <f t="shared" ca="1" si="36"/>
        <v>0.8650275578738067</v>
      </c>
      <c r="AC46">
        <f t="shared" ca="1" si="36"/>
        <v>0.70001205098637143</v>
      </c>
      <c r="AD46">
        <f t="shared" ca="1" si="36"/>
        <v>0.52595330454823808</v>
      </c>
      <c r="AE46">
        <f t="shared" ca="1" si="36"/>
        <v>0.38155912998423736</v>
      </c>
      <c r="AF46">
        <f t="shared" ca="1" si="36"/>
        <v>0.27209144906829674</v>
      </c>
      <c r="AG46">
        <f t="shared" ca="1" si="36"/>
        <v>0.19219715413414593</v>
      </c>
      <c r="AH46">
        <f t="shared" ca="1" si="36"/>
        <v>0.13493077945837775</v>
      </c>
      <c r="AI46">
        <f t="shared" ca="1" si="36"/>
        <v>0.28667201535751435</v>
      </c>
    </row>
    <row r="47" spans="1:35" ht="19" thickTop="1">
      <c r="A47" s="1" t="s">
        <v>41</v>
      </c>
      <c r="B47" s="11">
        <f ca="1">MAX(0,Ro*(reck-1/spr)/(reck-1))</f>
        <v>20157.703453229467</v>
      </c>
      <c r="F47" t="s">
        <v>84</v>
      </c>
      <c r="G47" s="31">
        <f ca="1">G39/G53</f>
        <v>1</v>
      </c>
      <c r="H47" s="31">
        <f ca="1">H53/H39</f>
        <v>0.49437000276321835</v>
      </c>
      <c r="I47" s="31">
        <f ca="1">I53/I39</f>
        <v>0.49000026732177521</v>
      </c>
      <c r="J47" s="8" t="s">
        <v>76</v>
      </c>
      <c r="K47">
        <f t="shared" ref="K47:AI47" ca="1" si="37">lz*qa2_</f>
        <v>2.6538334374221097E-4</v>
      </c>
      <c r="L47">
        <f t="shared" ca="1" si="37"/>
        <v>1.6899160566200725E-2</v>
      </c>
      <c r="M47">
        <f t="shared" ca="1" si="37"/>
        <v>0.27615502319987068</v>
      </c>
      <c r="N47">
        <f t="shared" ca="1" si="37"/>
        <v>0.76231785833370413</v>
      </c>
      <c r="O47">
        <f t="shared" ca="1" si="37"/>
        <v>1.0550787942138817</v>
      </c>
      <c r="P47">
        <f t="shared" ca="1" si="37"/>
        <v>1.2439629132432797</v>
      </c>
      <c r="Q47">
        <f t="shared" ca="1" si="37"/>
        <v>1.3480023157252334</v>
      </c>
      <c r="R47">
        <f t="shared" ca="1" si="37"/>
        <v>1.3689262140407377</v>
      </c>
      <c r="S47">
        <f t="shared" ca="1" si="37"/>
        <v>1.3262161775778782</v>
      </c>
      <c r="T47">
        <f t="shared" ca="1" si="37"/>
        <v>1.2429030884502261</v>
      </c>
      <c r="U47">
        <f t="shared" ca="1" si="37"/>
        <v>1.1353843130428096</v>
      </c>
      <c r="V47">
        <f t="shared" ca="1" si="37"/>
        <v>1.0149408160376083</v>
      </c>
      <c r="W47">
        <f t="shared" ca="1" si="37"/>
        <v>0.88849362677228705</v>
      </c>
      <c r="X47">
        <f t="shared" ca="1" si="37"/>
        <v>0.75885048235818719</v>
      </c>
      <c r="Y47">
        <f t="shared" ca="1" si="37"/>
        <v>0.62596511246331465</v>
      </c>
      <c r="Z47">
        <f t="shared" ca="1" si="37"/>
        <v>0.53519509062798654</v>
      </c>
      <c r="AA47">
        <f t="shared" ca="1" si="37"/>
        <v>0.4311881091539595</v>
      </c>
      <c r="AB47">
        <f t="shared" ca="1" si="37"/>
        <v>0.32972624592924443</v>
      </c>
      <c r="AC47">
        <f t="shared" ca="1" si="37"/>
        <v>0.24338234053345043</v>
      </c>
      <c r="AD47">
        <f t="shared" ca="1" si="37"/>
        <v>0.17597619149950272</v>
      </c>
      <c r="AE47">
        <f t="shared" ca="1" si="37"/>
        <v>0.12570998427570509</v>
      </c>
      <c r="AF47">
        <f t="shared" ca="1" si="37"/>
        <v>8.9099804029746529E-2</v>
      </c>
      <c r="AG47">
        <f t="shared" ca="1" si="37"/>
        <v>6.2787313739461267E-2</v>
      </c>
      <c r="AH47">
        <f t="shared" ca="1" si="37"/>
        <v>4.4038468873394396E-2</v>
      </c>
      <c r="AI47">
        <f t="shared" ca="1" si="37"/>
        <v>9.3529999406370135E-2</v>
      </c>
    </row>
    <row r="48" spans="1:35">
      <c r="A48" s="1" t="s">
        <v>43</v>
      </c>
      <c r="B48" s="1">
        <f ca="1">f1_*re*phi_q1</f>
        <v>27569.439422456104</v>
      </c>
      <c r="C48" s="20">
        <f ca="1">ye_1/SUM(ye_1,ye_2,ye_3)</f>
        <v>0.60367371601208453</v>
      </c>
      <c r="F48" t="s">
        <v>85</v>
      </c>
      <c r="G48" s="31">
        <f ca="1">G40/G54</f>
        <v>2.022776451667025</v>
      </c>
      <c r="H48" s="31">
        <f t="shared" ref="H48:I49" ca="1" si="38">H40/H54</f>
        <v>1.0000000000000002</v>
      </c>
      <c r="I48" s="31">
        <f ca="1">I54/I40</f>
        <v>0.66147781371747916</v>
      </c>
      <c r="J48" s="8" t="s">
        <v>77</v>
      </c>
      <c r="K48">
        <f t="shared" ref="K48:AI48" ca="1" si="39">lz*qa3_</f>
        <v>1.070396040650005E-6</v>
      </c>
      <c r="L48">
        <f t="shared" ca="1" si="39"/>
        <v>1.888851312933735E-5</v>
      </c>
      <c r="M48">
        <f t="shared" ca="1" si="39"/>
        <v>1.6071293769683078E-4</v>
      </c>
      <c r="N48">
        <f t="shared" ca="1" si="39"/>
        <v>9.7823431651494004E-4</v>
      </c>
      <c r="O48">
        <f t="shared" ca="1" si="39"/>
        <v>4.9963925281975644E-3</v>
      </c>
      <c r="P48">
        <f t="shared" ca="1" si="39"/>
        <v>5.8462088516989141E-2</v>
      </c>
      <c r="Q48">
        <f t="shared" ca="1" si="39"/>
        <v>1.0811080594930071</v>
      </c>
      <c r="R48">
        <f t="shared" ca="1" si="39"/>
        <v>2.1578810791899898</v>
      </c>
      <c r="S48">
        <f t="shared" ca="1" si="39"/>
        <v>2.4166663530975061</v>
      </c>
      <c r="T48">
        <f t="shared" ca="1" si="39"/>
        <v>2.3175610201293475</v>
      </c>
      <c r="U48">
        <f t="shared" ca="1" si="39"/>
        <v>2.0967421509626667</v>
      </c>
      <c r="V48">
        <f t="shared" ca="1" si="39"/>
        <v>1.8407857445461604</v>
      </c>
      <c r="W48">
        <f t="shared" ca="1" si="39"/>
        <v>1.5792693680298338</v>
      </c>
      <c r="X48">
        <f t="shared" ca="1" si="39"/>
        <v>1.3211927108012866</v>
      </c>
      <c r="Y48">
        <f t="shared" ca="1" si="39"/>
        <v>1.0673580498726596</v>
      </c>
      <c r="Z48">
        <f t="shared" ca="1" si="39"/>
        <v>0.9125824696301863</v>
      </c>
      <c r="AA48">
        <f t="shared" ca="1" si="39"/>
        <v>0.73523602218617579</v>
      </c>
      <c r="AB48">
        <f t="shared" ca="1" si="39"/>
        <v>0.56222935725910261</v>
      </c>
      <c r="AC48">
        <f t="shared" ca="1" si="39"/>
        <v>0.41500092448115733</v>
      </c>
      <c r="AD48">
        <f t="shared" ca="1" si="39"/>
        <v>0.30006401450038456</v>
      </c>
      <c r="AE48">
        <f t="shared" ca="1" si="39"/>
        <v>0.21435310210503605</v>
      </c>
      <c r="AF48">
        <f t="shared" ca="1" si="39"/>
        <v>0.15192762532560455</v>
      </c>
      <c r="AG48">
        <f t="shared" ca="1" si="39"/>
        <v>0.10706114991931247</v>
      </c>
      <c r="AH48">
        <f t="shared" ca="1" si="39"/>
        <v>7.5091747639272524E-2</v>
      </c>
      <c r="AI48">
        <f t="shared" ca="1" si="39"/>
        <v>0.15948172794825666</v>
      </c>
    </row>
    <row r="49" spans="1:47">
      <c r="A49" s="1" t="s">
        <v>44</v>
      </c>
      <c r="B49" s="1">
        <f ca="1">f2_*re*phi_q2</f>
        <v>10281.832414628605</v>
      </c>
      <c r="C49" s="20">
        <f ca="1">ye_2/SUM(ye_1,ye_2,ye_3)</f>
        <v>0.22513595166163144</v>
      </c>
      <c r="F49" t="s">
        <v>86</v>
      </c>
      <c r="G49" s="31">
        <f ca="1">G41/G55</f>
        <v>2.0408152131543971</v>
      </c>
      <c r="H49" s="31">
        <f t="shared" ca="1" si="38"/>
        <v>1.5117665011015855</v>
      </c>
      <c r="I49" s="31">
        <f t="shared" ca="1" si="38"/>
        <v>0.99999999999999944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7818.1662901572081</v>
      </c>
      <c r="C50" s="20">
        <f ca="1">ye_3/SUM(ye_1,ye_2,ye_3)</f>
        <v>0.171190332326284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45669.438127241912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1190.1961990592631</v>
      </c>
      <c r="H52" s="59">
        <f ca="1">H40^0.5</f>
        <v>575.07524803555532</v>
      </c>
      <c r="I52" s="11">
        <f ca="1">I41^0.5</f>
        <v>570.00143617758874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1.36768751888942</v>
      </c>
      <c r="C53">
        <f ca="1">AVERAGE(B53:B55)/B53</f>
        <v>0.55217466736063847</v>
      </c>
      <c r="G53">
        <f ca="1">G$52*$J53</f>
        <v>1416566.992255117</v>
      </c>
      <c r="H53">
        <f t="shared" ref="G53:I55" ca="1" si="40">H$52*$J53</f>
        <v>684452.37438498088</v>
      </c>
      <c r="I53">
        <f t="shared" ca="1" si="40"/>
        <v>678413.54279688722</v>
      </c>
      <c r="J53">
        <f t="array" aca="1" ref="J53:J55" ca="1">TRANSPOSE(G52:I52)</f>
        <v>1190.1961990592631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0.51006963360111102</v>
      </c>
      <c r="C54">
        <f ca="1">AVERAGE(B53:B55)/B54</f>
        <v>1.4805868670602966</v>
      </c>
      <c r="G54">
        <f t="shared" ca="1" si="40"/>
        <v>684452.37438498088</v>
      </c>
      <c r="H54">
        <f t="shared" ca="1" si="40"/>
        <v>330711.54090315546</v>
      </c>
      <c r="I54">
        <f ca="1">I$52*$J54</f>
        <v>327793.7172904496</v>
      </c>
      <c r="J54">
        <f ca="1"/>
        <v>575.07524803555532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0.38785004989765637</v>
      </c>
      <c r="C55">
        <f ca="1">AVERAGE(B53:B55)/B55</f>
        <v>1.9471504541390179</v>
      </c>
      <c r="G55">
        <f t="shared" ca="1" si="40"/>
        <v>678413.54279688722</v>
      </c>
      <c r="H55">
        <f t="shared" ca="1" si="40"/>
        <v>327793.7172904496</v>
      </c>
      <c r="I55">
        <f t="shared" ca="1" si="40"/>
        <v>324901.63724451378</v>
      </c>
      <c r="J55">
        <f ca="1"/>
        <v>570.00143617758874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4.1660296122690003E-2</v>
      </c>
      <c r="C56">
        <f ca="1">AVERAGE(B56:B58)/B56</f>
        <v>1.2005261151143427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8.0962637009346389E-2</v>
      </c>
      <c r="C57">
        <f ca="1">AVERAGE(B56:B58)/B57</f>
        <v>0.61774511436568547</v>
      </c>
      <c r="G57">
        <f t="array" aca="1" ref="G57:I59" ca="1">MMULT($G$52:$I$52,TRANSPOSE($G$52:$I$52))</f>
        <v>2072180.1704027862</v>
      </c>
      <c r="H57">
        <f ca="1"/>
        <v>2072180.1704027862</v>
      </c>
      <c r="I57">
        <f ca="1"/>
        <v>2072180.1704027862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2.7419887244022074E-2</v>
      </c>
      <c r="C58">
        <f ca="1">AVERAGE(B56:B58)/B58</f>
        <v>1.8240145560624064</v>
      </c>
      <c r="G58">
        <f ca="1"/>
        <v>2072180.1704027862</v>
      </c>
      <c r="H58">
        <f ca="1"/>
        <v>2072180.1704027862</v>
      </c>
      <c r="I58">
        <f ca="1"/>
        <v>2072180.1704027862</v>
      </c>
      <c r="AL58" s="31"/>
      <c r="AM58" s="31"/>
      <c r="AN58" s="31"/>
      <c r="AO58" s="31"/>
      <c r="AP58" s="31"/>
    </row>
    <row r="59" spans="1:47">
      <c r="G59">
        <f ca="1"/>
        <v>2072180.1704027862</v>
      </c>
      <c r="H59">
        <f ca="1"/>
        <v>2072180.1704027862</v>
      </c>
      <c r="I59">
        <f ca="1"/>
        <v>2072180.1704027862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32.829519858945936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6.3000620093714117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14.14484481449548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opLeftCell="A3" workbookViewId="0">
      <pane xSplit="10" topLeftCell="K1" activePane="topRight" state="frozen"/>
      <selection pane="topRight" activeCell="I19" sqref="I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9">
        <v>24977</v>
      </c>
      <c r="F4" s="49">
        <f ca="1">ye_1</f>
        <v>24268.781425534129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0.22513595166163139</v>
      </c>
      <c r="E5" s="49">
        <v>9315</v>
      </c>
      <c r="F5" s="49">
        <f ca="1">ye_2</f>
        <v>9050.8747639368357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0.17119033232628403</v>
      </c>
      <c r="E6" s="49">
        <v>7083</v>
      </c>
      <c r="F6" s="49">
        <f ca="1">ye_3</f>
        <v>6882.1627432060786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0.3999999999984355</v>
      </c>
      <c r="J7" t="s">
        <v>7</v>
      </c>
      <c r="K7" s="1">
        <f>1</f>
        <v>1</v>
      </c>
      <c r="L7" s="1">
        <f ca="1">K7*EXP(-K8)</f>
        <v>0.86007312194995522</v>
      </c>
      <c r="M7" s="1">
        <f t="shared" ref="M7:AH7" ca="1" si="4">L7*EXP(-L8)</f>
        <v>0.7344324954215673</v>
      </c>
      <c r="N7" s="1">
        <f t="shared" ca="1" si="4"/>
        <v>0.60422733474956614</v>
      </c>
      <c r="O7" s="1">
        <f t="shared" ca="1" si="4"/>
        <v>0.4896419701463629</v>
      </c>
      <c r="P7" s="1">
        <f t="shared" ca="1" si="4"/>
        <v>0.40151901833903791</v>
      </c>
      <c r="Q7" s="1">
        <f t="shared" ca="1" si="4"/>
        <v>0.33284364935181693</v>
      </c>
      <c r="R7" s="1">
        <f t="shared" ca="1" si="4"/>
        <v>0.27586306843491276</v>
      </c>
      <c r="S7" s="1">
        <f t="shared" ca="1" si="4"/>
        <v>0.22840052899408284</v>
      </c>
      <c r="T7" s="1">
        <f t="shared" ca="1" si="4"/>
        <v>0.1898475302454625</v>
      </c>
      <c r="U7" s="1">
        <f t="shared" ca="1" si="4"/>
        <v>0.15853911112708372</v>
      </c>
      <c r="V7" s="1">
        <f t="shared" ca="1" si="4"/>
        <v>0.1328771615891999</v>
      </c>
      <c r="W7" s="1">
        <f t="shared" ca="1" si="4"/>
        <v>0.11154374961738873</v>
      </c>
      <c r="X7" s="1">
        <f t="shared" ca="1" si="4"/>
        <v>9.3417805151217156E-2</v>
      </c>
      <c r="Y7" s="1">
        <f t="shared" ca="1" si="4"/>
        <v>7.7463435758153204E-2</v>
      </c>
      <c r="Z7" s="1">
        <f t="shared" ca="1" si="4"/>
        <v>6.2786791690885219E-2</v>
      </c>
      <c r="AA7" s="1">
        <f t="shared" ca="1" si="4"/>
        <v>4.8989758537974347E-2</v>
      </c>
      <c r="AB7" s="1">
        <f t="shared" ca="1" si="4"/>
        <v>3.6735620352786623E-2</v>
      </c>
      <c r="AC7" s="1">
        <f t="shared" ca="1" si="4"/>
        <v>2.6787250295557636E-2</v>
      </c>
      <c r="AD7" s="1">
        <f t="shared" ca="1" si="4"/>
        <v>1.9248338332043535E-2</v>
      </c>
      <c r="AE7" s="1">
        <f t="shared" ca="1" si="4"/>
        <v>1.3740981132186292E-2</v>
      </c>
      <c r="AF7" s="1">
        <f t="shared" ca="1" si="4"/>
        <v>9.782957191204953E-3</v>
      </c>
      <c r="AG7" s="1">
        <f t="shared" ca="1" si="4"/>
        <v>6.957521812961073E-3</v>
      </c>
      <c r="AH7" s="1">
        <f t="shared" ca="1" si="4"/>
        <v>4.9460082089980654E-3</v>
      </c>
      <c r="AI7" s="1">
        <f ca="1">AH7*EXP(-AH8)/(1-EXP(-AI8))</f>
        <v>1.2152628990299025E-2</v>
      </c>
    </row>
    <row r="8" spans="1:35">
      <c r="A8" s="5"/>
      <c r="B8" s="26"/>
      <c r="C8" s="26"/>
      <c r="E8" t="s">
        <v>111</v>
      </c>
      <c r="F8">
        <f ca="1">SUMXMY2(E4:E6,F4:F6)</f>
        <v>611671.29326040018</v>
      </c>
      <c r="J8" t="s">
        <v>11</v>
      </c>
      <c r="K8" s="1">
        <f ca="1">M+f1_*flt1_ +f2_*flt2_ +f3_*flt3_</f>
        <v>0.15073786782584475</v>
      </c>
      <c r="L8" s="1">
        <f t="shared" ref="L8:AI8" ca="1" si="5">M+f1_*flt1_ +f2_*flt2_ +f3_*flt3_</f>
        <v>0.15791932525051999</v>
      </c>
      <c r="M8" s="1">
        <f t="shared" ca="1" si="5"/>
        <v>0.19514757674920211</v>
      </c>
      <c r="N8" s="1">
        <f t="shared" ca="1" si="5"/>
        <v>0.21027605829432972</v>
      </c>
      <c r="O8" s="1">
        <f t="shared" ca="1" si="5"/>
        <v>0.19841955038048076</v>
      </c>
      <c r="P8" s="1">
        <f t="shared" ca="1" si="5"/>
        <v>0.18758204222704875</v>
      </c>
      <c r="Q8" s="1">
        <f t="shared" ca="1" si="5"/>
        <v>0.18776824450921639</v>
      </c>
      <c r="R8" s="1">
        <f t="shared" ca="1" si="5"/>
        <v>0.18880381988014439</v>
      </c>
      <c r="S8" s="1">
        <f t="shared" ca="1" si="5"/>
        <v>0.18487951625049431</v>
      </c>
      <c r="T8" s="1">
        <f t="shared" ca="1" si="5"/>
        <v>0.18021995683766168</v>
      </c>
      <c r="U8" s="1">
        <f t="shared" ca="1" si="5"/>
        <v>0.17657621640770355</v>
      </c>
      <c r="V8" s="1">
        <f t="shared" ca="1" si="5"/>
        <v>0.17500821717744716</v>
      </c>
      <c r="W8" s="1">
        <f t="shared" ca="1" si="5"/>
        <v>0.1773349268147906</v>
      </c>
      <c r="X8" s="1">
        <f t="shared" ca="1" si="5"/>
        <v>0.1872759320180091</v>
      </c>
      <c r="Y8" s="1">
        <f t="shared" ca="1" si="5"/>
        <v>0.21006130039970458</v>
      </c>
      <c r="Z8" s="1">
        <f t="shared" ca="1" si="5"/>
        <v>0.24813346112352186</v>
      </c>
      <c r="AA8" s="1">
        <f t="shared" ca="1" si="5"/>
        <v>0.28786440066567737</v>
      </c>
      <c r="AB8" s="1">
        <f t="shared" ca="1" si="5"/>
        <v>0.31582082709182757</v>
      </c>
      <c r="AC8" s="1">
        <f t="shared" ca="1" si="5"/>
        <v>0.33050130248386272</v>
      </c>
      <c r="AD8" s="1">
        <f t="shared" ca="1" si="5"/>
        <v>0.33704204534934629</v>
      </c>
      <c r="AE8" s="1">
        <f t="shared" ca="1" si="5"/>
        <v>0.339740881614712</v>
      </c>
      <c r="AF8" s="1">
        <f t="shared" ca="1" si="5"/>
        <v>0.34081846004532595</v>
      </c>
      <c r="AG8" s="1">
        <f t="shared" ca="1" si="5"/>
        <v>0.34124252076277845</v>
      </c>
      <c r="AH8" s="1">
        <f t="shared" ca="1" si="5"/>
        <v>0.34140792297508549</v>
      </c>
      <c r="AI8" s="1">
        <f t="shared" ca="1" si="5"/>
        <v>0.34147168448525617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0.86007312194995522</v>
      </c>
      <c r="L10" s="1">
        <f t="shared" ca="1" si="6"/>
        <v>0.85391866886441481</v>
      </c>
      <c r="M10" s="1">
        <f t="shared" ca="1" si="6"/>
        <v>0.82271323575182653</v>
      </c>
      <c r="N10" s="1">
        <f t="shared" ca="1" si="6"/>
        <v>0.81036050834956785</v>
      </c>
      <c r="O10" s="1">
        <f t="shared" ca="1" si="6"/>
        <v>0.8200257388455009</v>
      </c>
      <c r="P10" s="1">
        <f t="shared" ca="1" si="6"/>
        <v>0.82896110557524749</v>
      </c>
      <c r="Q10" s="1">
        <f t="shared" ca="1" si="6"/>
        <v>0.82880676549524468</v>
      </c>
      <c r="R10" s="1">
        <f t="shared" ca="1" si="6"/>
        <v>0.82794891788123404</v>
      </c>
      <c r="S10" s="1">
        <f t="shared" ca="1" si="6"/>
        <v>0.8312044244450103</v>
      </c>
      <c r="T10" s="1">
        <f t="shared" ca="1" si="6"/>
        <v>0.83508650822110408</v>
      </c>
      <c r="U10" s="1">
        <f t="shared" ca="1" si="6"/>
        <v>0.8381348970897573</v>
      </c>
      <c r="V10" s="1">
        <f t="shared" ca="1" si="6"/>
        <v>0.83945012283024922</v>
      </c>
      <c r="W10" s="1">
        <f t="shared" ca="1" si="6"/>
        <v>0.83749923659240255</v>
      </c>
      <c r="X10" s="1">
        <f t="shared" ca="1" si="6"/>
        <v>0.82921489787478608</v>
      </c>
      <c r="Y10" s="1">
        <f t="shared" ca="1" si="6"/>
        <v>0.81053455835486576</v>
      </c>
      <c r="Z10" s="1">
        <f t="shared" ca="1" si="6"/>
        <v>0.78025580251277926</v>
      </c>
      <c r="AA10" s="1">
        <f t="shared" ca="1" si="6"/>
        <v>0.74986326630516165</v>
      </c>
      <c r="AB10" s="1">
        <f t="shared" ca="1" si="6"/>
        <v>0.72919008957271247</v>
      </c>
      <c r="AC10" s="1">
        <f t="shared" ca="1" si="6"/>
        <v>0.71856342549782559</v>
      </c>
      <c r="AD10" s="1">
        <f t="shared" ca="1" si="6"/>
        <v>0.71387882398716418</v>
      </c>
      <c r="AE10" s="1">
        <f t="shared" ca="1" si="6"/>
        <v>0.71195477943636554</v>
      </c>
      <c r="AF10" s="1">
        <f t="shared" ca="1" si="6"/>
        <v>0.71118800552618233</v>
      </c>
      <c r="AG10" s="1">
        <f t="shared" ca="1" si="6"/>
        <v>0.71088648256685505</v>
      </c>
      <c r="AH10" s="1">
        <f t="shared" ca="1" si="6"/>
        <v>0.71076891009358101</v>
      </c>
      <c r="AI10" s="1">
        <f t="shared" ca="1" si="6"/>
        <v>0.71072359183928657</v>
      </c>
    </row>
    <row r="11" spans="1:35">
      <c r="A11" s="5">
        <v>1</v>
      </c>
      <c r="B11" s="25">
        <v>0.2776560452429222</v>
      </c>
      <c r="C11" s="18">
        <f ca="1">mpr1_/SUM(mpr1_,mpr2_,mpr3_)</f>
        <v>0.18937605481277703</v>
      </c>
      <c r="J11" t="s">
        <v>56</v>
      </c>
      <c r="K11" s="1">
        <f ca="1">1-sa</f>
        <v>0.13992687805004478</v>
      </c>
      <c r="L11" s="1">
        <f t="shared" ref="L11:AI11" ca="1" si="7">1-sa</f>
        <v>0.14608133113558519</v>
      </c>
      <c r="M11" s="1">
        <f t="shared" ca="1" si="7"/>
        <v>0.17728676424817347</v>
      </c>
      <c r="N11" s="1">
        <f t="shared" ca="1" si="7"/>
        <v>0.18963949165043215</v>
      </c>
      <c r="O11" s="1">
        <f t="shared" ca="1" si="7"/>
        <v>0.1799742611544991</v>
      </c>
      <c r="P11" s="1">
        <f t="shared" ca="1" si="7"/>
        <v>0.17103889442475251</v>
      </c>
      <c r="Q11" s="1">
        <f t="shared" ca="1" si="7"/>
        <v>0.17119323450475532</v>
      </c>
      <c r="R11" s="1">
        <f t="shared" ca="1" si="7"/>
        <v>0.17205108211876596</v>
      </c>
      <c r="S11" s="1">
        <f t="shared" ca="1" si="7"/>
        <v>0.1687955755549897</v>
      </c>
      <c r="T11" s="1">
        <f t="shared" ca="1" si="7"/>
        <v>0.16491349177889592</v>
      </c>
      <c r="U11" s="1">
        <f t="shared" ca="1" si="7"/>
        <v>0.1618651029102427</v>
      </c>
      <c r="V11" s="1">
        <f t="shared" ca="1" si="7"/>
        <v>0.16054987716975078</v>
      </c>
      <c r="W11" s="1">
        <f t="shared" ca="1" si="7"/>
        <v>0.16250076340759745</v>
      </c>
      <c r="X11" s="1">
        <f t="shared" ca="1" si="7"/>
        <v>0.17078510212521392</v>
      </c>
      <c r="Y11" s="1">
        <f t="shared" ca="1" si="7"/>
        <v>0.18946544164513424</v>
      </c>
      <c r="Z11" s="1">
        <f t="shared" ca="1" si="7"/>
        <v>0.21974419748722074</v>
      </c>
      <c r="AA11" s="1">
        <f t="shared" ca="1" si="7"/>
        <v>0.25013673369483835</v>
      </c>
      <c r="AB11" s="1">
        <f t="shared" ca="1" si="7"/>
        <v>0.27080991042728753</v>
      </c>
      <c r="AC11" s="1">
        <f t="shared" ca="1" si="7"/>
        <v>0.28143657450217441</v>
      </c>
      <c r="AD11" s="1">
        <f t="shared" ca="1" si="7"/>
        <v>0.28612117601283582</v>
      </c>
      <c r="AE11" s="1">
        <f t="shared" ca="1" si="7"/>
        <v>0.28804522056363446</v>
      </c>
      <c r="AF11" s="1">
        <f t="shared" ca="1" si="7"/>
        <v>0.28881199447381767</v>
      </c>
      <c r="AG11" s="1">
        <f t="shared" ca="1" si="7"/>
        <v>0.28911351743314495</v>
      </c>
      <c r="AH11" s="1">
        <f t="shared" ca="1" si="7"/>
        <v>0.28923108990641899</v>
      </c>
      <c r="AI11" s="1">
        <f t="shared" ca="1" si="7"/>
        <v>0.28927640816071343</v>
      </c>
    </row>
    <row r="12" spans="1:35">
      <c r="A12" s="5">
        <v>2</v>
      </c>
      <c r="B12" s="25">
        <v>0.53959687512124965</v>
      </c>
      <c r="C12" s="18">
        <f ca="1">mpr2_/SUM(mpr1_,mpr2_,mpr3_)</f>
        <v>0.68590159109961824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0.12472235408760465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0.3999999999984355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2.4477425005292099E-24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v>0.1</v>
      </c>
      <c r="J19" s="8" t="s">
        <v>104</v>
      </c>
      <c r="K19" s="4">
        <f t="shared" si="12"/>
        <v>9.6213510225466176E-3</v>
      </c>
      <c r="L19" s="4">
        <f t="shared" si="12"/>
        <v>0.10330388675722919</v>
      </c>
      <c r="M19" s="4">
        <f t="shared" si="12"/>
        <v>0.58897214032810585</v>
      </c>
      <c r="N19" s="4">
        <f t="shared" si="12"/>
        <v>0.78617614100554356</v>
      </c>
      <c r="O19" s="4">
        <f t="shared" si="12"/>
        <v>0.63084986166996349</v>
      </c>
      <c r="P19" s="4">
        <f t="shared" ref="P19:Y19" si="14">((EXP(g*(ah-age)/gh)/(1+EXP((ah-age)/gh))) *(1/(1-g))*((1-g)/g)^g) *(sr_2+(1-sr_2)*dmr)</f>
        <v>0.48233532705520743</v>
      </c>
      <c r="Q19" s="4">
        <f t="shared" si="14"/>
        <v>0.36773482838724292</v>
      </c>
      <c r="R19" s="4">
        <f t="shared" si="14"/>
        <v>0.28030259284732501</v>
      </c>
      <c r="S19" s="4">
        <f t="shared" si="14"/>
        <v>0.21365511084308417</v>
      </c>
      <c r="T19" s="4">
        <f t="shared" si="14"/>
        <v>0.16285423164763396</v>
      </c>
      <c r="U19" s="4">
        <f t="shared" si="14"/>
        <v>0.12413229436421871</v>
      </c>
      <c r="V19" s="4">
        <f t="shared" si="14"/>
        <v>9.4617292314831319E-2</v>
      </c>
      <c r="W19" s="4">
        <f t="shared" si="14"/>
        <v>7.2120088075360356E-2</v>
      </c>
      <c r="X19" s="4">
        <f t="shared" si="14"/>
        <v>5.4972056129009919E-2</v>
      </c>
      <c r="Y19" s="4">
        <f t="shared" si="14"/>
        <v>4.1901320917669717E-2</v>
      </c>
      <c r="Z19" s="4">
        <f>Y19</f>
        <v>4.1901320917669717E-2</v>
      </c>
      <c r="AA19" s="4">
        <f t="shared" ref="AA19:AI20" si="15">Z19</f>
        <v>4.1901320917669717E-2</v>
      </c>
      <c r="AB19" s="4">
        <f t="shared" si="15"/>
        <v>4.1901320917669717E-2</v>
      </c>
      <c r="AC19" s="4">
        <f t="shared" si="15"/>
        <v>4.1901320917669717E-2</v>
      </c>
      <c r="AD19" s="4">
        <f t="shared" si="15"/>
        <v>4.1901320917669717E-2</v>
      </c>
      <c r="AE19" s="4">
        <f t="shared" si="15"/>
        <v>4.1901320917669717E-2</v>
      </c>
      <c r="AF19" s="4">
        <f t="shared" si="15"/>
        <v>4.1901320917669717E-2</v>
      </c>
      <c r="AG19" s="4">
        <f t="shared" si="15"/>
        <v>4.1901320917669717E-2</v>
      </c>
      <c r="AH19" s="4">
        <f t="shared" si="15"/>
        <v>4.1901320917669717E-2</v>
      </c>
      <c r="AI19" s="4">
        <f t="shared" si="15"/>
        <v>4.1901320917669717E-2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5.2930418188376503E-9</v>
      </c>
      <c r="L22" s="1">
        <f t="shared" ca="1" si="17"/>
        <v>7.7288933766276872E-8</v>
      </c>
      <c r="M22" s="1">
        <f t="shared" ca="1" si="17"/>
        <v>5.4187787590831435E-7</v>
      </c>
      <c r="N22" s="1">
        <f t="shared" ca="1" si="17"/>
        <v>2.8051031688280421E-6</v>
      </c>
      <c r="O22" s="1">
        <f t="shared" ca="1" si="17"/>
        <v>1.2427119366596758E-5</v>
      </c>
      <c r="P22" s="1">
        <f t="shared" ca="1" si="17"/>
        <v>6.8112195169895681E-5</v>
      </c>
      <c r="Q22" s="1">
        <f t="shared" ca="1" si="17"/>
        <v>8.8060867617843416E-4</v>
      </c>
      <c r="R22" s="1">
        <f t="shared" ca="1" si="17"/>
        <v>3.6784706881411609E-3</v>
      </c>
      <c r="S22" s="1">
        <f t="shared" ca="1" si="17"/>
        <v>1.2097753894385112E-2</v>
      </c>
      <c r="T22" s="1">
        <f t="shared" ca="1" si="17"/>
        <v>3.8120833339716755E-2</v>
      </c>
      <c r="U22" s="1">
        <f t="shared" ca="1" si="17"/>
        <v>0.1163883325778098</v>
      </c>
      <c r="V22" s="1">
        <f t="shared" ca="1" si="17"/>
        <v>0.34435105692829565</v>
      </c>
      <c r="W22" s="1">
        <f t="shared" ca="1" si="17"/>
        <v>0.97896449962078591</v>
      </c>
      <c r="X22" s="1">
        <f t="shared" ca="1" si="17"/>
        <v>2.6083456445001856</v>
      </c>
      <c r="Y22" s="1">
        <f t="shared" ca="1" si="17"/>
        <v>6.1862547764529383</v>
      </c>
      <c r="Z22" s="1">
        <f t="shared" ca="1" si="17"/>
        <v>12.167432222629689</v>
      </c>
      <c r="AA22" s="1">
        <f t="shared" ca="1" si="17"/>
        <v>19.148664437098251</v>
      </c>
      <c r="AB22" s="1">
        <f t="shared" ca="1" si="17"/>
        <v>25.044888783547727</v>
      </c>
      <c r="AC22" s="1">
        <f t="shared" ca="1" si="17"/>
        <v>29.283336849090155</v>
      </c>
      <c r="AD22" s="1">
        <f t="shared" ca="1" si="17"/>
        <v>32.357293791730527</v>
      </c>
      <c r="AE22" s="1">
        <f t="shared" ca="1" si="17"/>
        <v>34.794458141180812</v>
      </c>
      <c r="AF22" s="1">
        <f t="shared" ca="1" si="17"/>
        <v>36.897167324414724</v>
      </c>
      <c r="AG22" s="1">
        <f t="shared" ca="1" si="17"/>
        <v>38.807560996135564</v>
      </c>
      <c r="AH22" s="1">
        <f t="shared" ca="1" si="17"/>
        <v>40.587521174876137</v>
      </c>
      <c r="AI22" s="1">
        <f t="shared" ca="1" si="17"/>
        <v>42.263377083547354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4.5724663092529006E-4</v>
      </c>
      <c r="L23" s="1">
        <f t="shared" ca="1" si="18"/>
        <v>2.8039838170900337E-2</v>
      </c>
      <c r="M23" s="1">
        <f t="shared" ca="1" si="18"/>
        <v>0.43839982822134327</v>
      </c>
      <c r="N23" s="1">
        <f t="shared" ca="1" si="18"/>
        <v>1.184759903973404</v>
      </c>
      <c r="O23" s="1">
        <f t="shared" ca="1" si="18"/>
        <v>1.6341539668771989</v>
      </c>
      <c r="P23" s="1">
        <f t="shared" ca="1" si="18"/>
        <v>1.9169891258970695</v>
      </c>
      <c r="Q23" s="1">
        <f t="shared" ca="1" si="18"/>
        <v>2.0620200861422084</v>
      </c>
      <c r="R23" s="1">
        <f t="shared" ca="1" si="18"/>
        <v>2.0926946497715018</v>
      </c>
      <c r="S23" s="1">
        <f t="shared" ca="1" si="18"/>
        <v>2.0375361101468235</v>
      </c>
      <c r="T23" s="1">
        <f t="shared" ca="1" si="18"/>
        <v>1.9173175300079301</v>
      </c>
      <c r="U23" s="1">
        <f t="shared" ca="1" si="18"/>
        <v>1.7540189060392046</v>
      </c>
      <c r="V23" s="1">
        <f t="shared" ca="1" si="18"/>
        <v>1.5670236089571306</v>
      </c>
      <c r="W23" s="1">
        <f t="shared" ca="1" si="18"/>
        <v>1.3711663338809548</v>
      </c>
      <c r="X23" s="1">
        <f t="shared" ca="1" si="18"/>
        <v>1.1764858876713844</v>
      </c>
      <c r="Y23" s="1">
        <f t="shared" ca="1" si="18"/>
        <v>0.98969578743374853</v>
      </c>
      <c r="Z23" s="1">
        <f t="shared" ca="1" si="18"/>
        <v>1.071764676279352</v>
      </c>
      <c r="AA23" s="1">
        <f t="shared" ca="1" si="18"/>
        <v>1.1482047187694207</v>
      </c>
      <c r="AB23" s="1">
        <f t="shared" ca="1" si="18"/>
        <v>1.2262789167685539</v>
      </c>
      <c r="AC23" s="1">
        <f t="shared" ca="1" si="18"/>
        <v>1.3078281751896634</v>
      </c>
      <c r="AD23" s="1">
        <f t="shared" ca="1" si="18"/>
        <v>1.390674521122214</v>
      </c>
      <c r="AE23" s="1">
        <f t="shared" ca="1" si="18"/>
        <v>1.4725314503591049</v>
      </c>
      <c r="AF23" s="1">
        <f t="shared" ca="1" si="18"/>
        <v>1.5520348199509388</v>
      </c>
      <c r="AG23" s="1">
        <f t="shared" ca="1" si="18"/>
        <v>1.6285004326107491</v>
      </c>
      <c r="AH23" s="1">
        <f t="shared" ca="1" si="18"/>
        <v>1.7016110202094292</v>
      </c>
      <c r="AI23" s="1">
        <f t="shared" ca="1" si="18"/>
        <v>1.7712359085019014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1.0701091014366099E-6</v>
      </c>
      <c r="L24" s="1">
        <f t="shared" ca="1" si="19"/>
        <v>2.1890770488246123E-5</v>
      </c>
      <c r="M24" s="1">
        <f t="shared" ca="1" si="19"/>
        <v>2.1451979143564243E-4</v>
      </c>
      <c r="N24" s="1">
        <f t="shared" ca="1" si="19"/>
        <v>1.5388009288064639E-3</v>
      </c>
      <c r="O24" s="1">
        <f t="shared" ca="1" si="19"/>
        <v>9.4287932714753105E-3</v>
      </c>
      <c r="P24" s="1">
        <f t="shared" ca="1" si="19"/>
        <v>0.13213693282238281</v>
      </c>
      <c r="Q24" s="1">
        <f t="shared" ca="1" si="19"/>
        <v>2.9198142955468525</v>
      </c>
      <c r="R24" s="1">
        <f t="shared" ca="1" si="19"/>
        <v>7.0110553696379601</v>
      </c>
      <c r="S24" s="1">
        <f t="shared" ca="1" si="19"/>
        <v>9.4991325529175228</v>
      </c>
      <c r="T24" s="1">
        <f t="shared" ca="1" si="19"/>
        <v>11.010585319105139</v>
      </c>
      <c r="U24" s="1">
        <f t="shared" ca="1" si="19"/>
        <v>12.008950455226296</v>
      </c>
      <c r="V24" s="1">
        <f t="shared" ca="1" si="19"/>
        <v>12.683902762057924</v>
      </c>
      <c r="W24" s="1">
        <f t="shared" ca="1" si="19"/>
        <v>13.093419120054433</v>
      </c>
      <c r="X24" s="1">
        <f t="shared" ca="1" si="19"/>
        <v>13.246584174101802</v>
      </c>
      <c r="Y24" s="1">
        <f t="shared" ca="1" si="19"/>
        <v>13.137573028382347</v>
      </c>
      <c r="Z24" s="1">
        <f t="shared" ca="1" si="19"/>
        <v>14.226984577119978</v>
      </c>
      <c r="AA24" s="1">
        <f t="shared" ca="1" si="19"/>
        <v>15.241676822208625</v>
      </c>
      <c r="AB24" s="1">
        <f t="shared" ca="1" si="19"/>
        <v>16.278061427326143</v>
      </c>
      <c r="AC24" s="1">
        <f t="shared" ca="1" si="19"/>
        <v>17.360575217443159</v>
      </c>
      <c r="AD24" s="1">
        <f t="shared" ca="1" si="19"/>
        <v>18.460307007396207</v>
      </c>
      <c r="AE24" s="1">
        <f t="shared" ca="1" si="19"/>
        <v>19.546904929084111</v>
      </c>
      <c r="AF24" s="1">
        <f t="shared" ca="1" si="19"/>
        <v>20.602260864995991</v>
      </c>
      <c r="AG24" s="1">
        <f t="shared" ca="1" si="19"/>
        <v>21.617292537590131</v>
      </c>
      <c r="AH24" s="1">
        <f t="shared" ca="1" si="19"/>
        <v>22.587788417153426</v>
      </c>
      <c r="AI24" s="1">
        <f t="shared" ca="1" si="19"/>
        <v>23.512013887393238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1.0338788409986475E-7</v>
      </c>
      <c r="L26">
        <f t="shared" ref="L26:AI26" ca="1" si="20">qa1_/wa</f>
        <v>2.6340129942468833E-7</v>
      </c>
      <c r="M26">
        <f t="shared" ca="1" si="20"/>
        <v>6.6136155755148486E-7</v>
      </c>
      <c r="N26">
        <f t="shared" ca="1" si="20"/>
        <v>1.6787162933781217E-6</v>
      </c>
      <c r="O26">
        <f t="shared" ca="1" si="20"/>
        <v>4.3514044114546115E-6</v>
      </c>
      <c r="P26">
        <f t="shared" ca="1" si="20"/>
        <v>1.5626363417676688E-5</v>
      </c>
      <c r="Q26">
        <f t="shared" ca="1" si="20"/>
        <v>1.4318228346582349E-4</v>
      </c>
      <c r="R26">
        <f t="shared" ca="1" si="20"/>
        <v>4.4898846389683381E-4</v>
      </c>
      <c r="S26">
        <f t="shared" ca="1" si="20"/>
        <v>1.1582037848759505E-3</v>
      </c>
      <c r="T26">
        <f t="shared" ca="1" si="20"/>
        <v>2.9629252614605823E-3</v>
      </c>
      <c r="U26">
        <f t="shared" ca="1" si="20"/>
        <v>7.5505915863992449E-3</v>
      </c>
      <c r="V26">
        <f t="shared" ca="1" si="20"/>
        <v>1.9074270324791254E-2</v>
      </c>
      <c r="W26">
        <f t="shared" ca="1" si="20"/>
        <v>4.7183937031667386E-2</v>
      </c>
      <c r="X26">
        <f t="shared" ca="1" si="20"/>
        <v>0.11114461279909536</v>
      </c>
      <c r="Y26">
        <f t="shared" ca="1" si="20"/>
        <v>0.23623146940503587</v>
      </c>
      <c r="Z26">
        <f t="shared" ca="1" si="20"/>
        <v>0.42126879764193864</v>
      </c>
      <c r="AA26">
        <f t="shared" ca="1" si="20"/>
        <v>0.60720646870202188</v>
      </c>
      <c r="AB26">
        <f t="shared" ca="1" si="20"/>
        <v>0.73380614953227863</v>
      </c>
      <c r="AC26">
        <f t="shared" ca="1" si="20"/>
        <v>0.79892304534875602</v>
      </c>
      <c r="AD26">
        <f t="shared" ca="1" si="20"/>
        <v>0.8276378199763692</v>
      </c>
      <c r="AE26">
        <f t="shared" ca="1" si="20"/>
        <v>0.83943307385205013</v>
      </c>
      <c r="AF26">
        <f t="shared" ca="1" si="20"/>
        <v>0.84413400414074014</v>
      </c>
      <c r="AG26">
        <f t="shared" ca="1" si="20"/>
        <v>0.84598261944376485</v>
      </c>
      <c r="AH26">
        <f t="shared" ca="1" si="20"/>
        <v>0.84670345401822067</v>
      </c>
      <c r="AI26">
        <f t="shared" ca="1" si="20"/>
        <v>0.84698130030921626</v>
      </c>
      <c r="AM26" s="44"/>
    </row>
    <row r="27" spans="1:39">
      <c r="A27" t="s">
        <v>14</v>
      </c>
      <c r="B27" s="28">
        <f ca="1">fbar*C27</f>
        <v>0.17808832807967723</v>
      </c>
      <c r="C27" s="36">
        <f ca="1">CHOOSE(C$25,E36,E39,1)</f>
        <v>1.9564134845599228</v>
      </c>
      <c r="E27" s="42">
        <f ca="1">f1_/(F4/(365*re*phib))</f>
        <v>1840.1819237941136</v>
      </c>
      <c r="J27" s="8" t="s">
        <v>31</v>
      </c>
      <c r="K27">
        <f t="shared" ref="K27:AI27" ca="1" si="21">qa2_/wa</f>
        <v>8.9313032659052039E-3</v>
      </c>
      <c r="L27">
        <f t="shared" ca="1" si="21"/>
        <v>9.5559990932307395E-2</v>
      </c>
      <c r="M27">
        <f t="shared" ca="1" si="21"/>
        <v>0.53506667482366255</v>
      </c>
      <c r="N27">
        <f t="shared" ca="1" si="21"/>
        <v>0.70902053679979071</v>
      </c>
      <c r="O27">
        <f t="shared" ca="1" si="21"/>
        <v>0.5722053977834165</v>
      </c>
      <c r="P27">
        <f t="shared" ca="1" si="21"/>
        <v>0.43979743530923204</v>
      </c>
      <c r="Q27">
        <f t="shared" ca="1" si="21"/>
        <v>0.33527349034023279</v>
      </c>
      <c r="R27">
        <f t="shared" ca="1" si="21"/>
        <v>0.25543108423702959</v>
      </c>
      <c r="S27">
        <f t="shared" ca="1" si="21"/>
        <v>0.1950677832592343</v>
      </c>
      <c r="T27">
        <f t="shared" ca="1" si="21"/>
        <v>0.14902267464292307</v>
      </c>
      <c r="U27">
        <f t="shared" ca="1" si="21"/>
        <v>0.11379044704047817</v>
      </c>
      <c r="V27">
        <f t="shared" ca="1" si="21"/>
        <v>8.6800465168318797E-2</v>
      </c>
      <c r="W27">
        <f t="shared" ca="1" si="21"/>
        <v>6.6087203348887916E-2</v>
      </c>
      <c r="X27">
        <f t="shared" ca="1" si="21"/>
        <v>5.0131419018238449E-2</v>
      </c>
      <c r="Y27">
        <f t="shared" ca="1" si="21"/>
        <v>3.7793026407409398E-2</v>
      </c>
      <c r="Z27">
        <f t="shared" ca="1" si="21"/>
        <v>3.7107337708573933E-2</v>
      </c>
      <c r="AA27">
        <f t="shared" ca="1" si="21"/>
        <v>3.6409710709653542E-2</v>
      </c>
      <c r="AB27">
        <f t="shared" ca="1" si="21"/>
        <v>3.5929527096070342E-2</v>
      </c>
      <c r="AC27">
        <f t="shared" ca="1" si="21"/>
        <v>3.5680840400806178E-2</v>
      </c>
      <c r="AD27">
        <f t="shared" ca="1" si="21"/>
        <v>3.5570800091212267E-2</v>
      </c>
      <c r="AE27">
        <f t="shared" ca="1" si="21"/>
        <v>3.5525531011382262E-2</v>
      </c>
      <c r="AF27">
        <f t="shared" ca="1" si="21"/>
        <v>3.5507478273654178E-2</v>
      </c>
      <c r="AG27">
        <f t="shared" ca="1" si="21"/>
        <v>3.5500377410539526E-2</v>
      </c>
      <c r="AH27">
        <f t="shared" ca="1" si="21"/>
        <v>3.5497608291945384E-2</v>
      </c>
      <c r="AI27">
        <f t="shared" ca="1" si="21"/>
        <v>3.5496540893352524E-2</v>
      </c>
    </row>
    <row r="28" spans="1:39">
      <c r="A28" t="s">
        <v>15</v>
      </c>
      <c r="B28" s="28">
        <f ca="1">fbar*C28</f>
        <v>7.6645660465446089E-2</v>
      </c>
      <c r="C28" s="36">
        <f ca="1">CHOOSE(C$25,E37,E40,1)</f>
        <v>0.84200129949286606</v>
      </c>
      <c r="E28" s="42">
        <f ca="1">f2_/(F5/(365*re*phib))</f>
        <v>2123.5881299401176</v>
      </c>
      <c r="J28" s="8" t="s">
        <v>32</v>
      </c>
      <c r="K28">
        <f t="shared" ref="K28:AI28" ca="1" si="22">qa3_/wa</f>
        <v>2.0902218334982724E-5</v>
      </c>
      <c r="L28">
        <f t="shared" ca="1" si="22"/>
        <v>7.4603919487986595E-5</v>
      </c>
      <c r="M28">
        <f t="shared" ca="1" si="22"/>
        <v>2.618212510552865E-4</v>
      </c>
      <c r="N28">
        <f t="shared" ca="1" si="22"/>
        <v>9.2089667865301729E-4</v>
      </c>
      <c r="O28">
        <f t="shared" ca="1" si="22"/>
        <v>3.3015288117753975E-3</v>
      </c>
      <c r="P28">
        <f t="shared" ca="1" si="22"/>
        <v>3.0314978514923811E-2</v>
      </c>
      <c r="Q28">
        <f t="shared" ca="1" si="22"/>
        <v>0.47474626294488403</v>
      </c>
      <c r="R28">
        <f t="shared" ca="1" si="22"/>
        <v>0.85575861481177484</v>
      </c>
      <c r="S28">
        <f t="shared" ca="1" si="22"/>
        <v>0.90941933286754273</v>
      </c>
      <c r="T28">
        <f t="shared" ca="1" si="22"/>
        <v>0.8557929753192024</v>
      </c>
      <c r="U28">
        <f t="shared" ca="1" si="22"/>
        <v>0.7790701890852999</v>
      </c>
      <c r="V28">
        <f t="shared" ca="1" si="22"/>
        <v>0.70258587911707138</v>
      </c>
      <c r="W28">
        <f t="shared" ca="1" si="22"/>
        <v>0.63107402110004018</v>
      </c>
      <c r="X28">
        <f t="shared" ca="1" si="22"/>
        <v>0.56445221209296081</v>
      </c>
      <c r="Y28">
        <f t="shared" ca="1" si="22"/>
        <v>0.50167804157109286</v>
      </c>
      <c r="Z28">
        <f t="shared" ca="1" si="22"/>
        <v>0.49257596649906932</v>
      </c>
      <c r="AA28">
        <f t="shared" ca="1" si="22"/>
        <v>0.48331541819598639</v>
      </c>
      <c r="AB28">
        <f t="shared" ca="1" si="22"/>
        <v>0.4769412905392047</v>
      </c>
      <c r="AC28">
        <f t="shared" ca="1" si="22"/>
        <v>0.47364013511174596</v>
      </c>
      <c r="AD28">
        <f t="shared" ca="1" si="22"/>
        <v>0.47217942099968085</v>
      </c>
      <c r="AE28">
        <f t="shared" ca="1" si="22"/>
        <v>0.47157850317246008</v>
      </c>
      <c r="AF28">
        <f t="shared" ca="1" si="22"/>
        <v>0.47133886472671105</v>
      </c>
      <c r="AG28">
        <f t="shared" ca="1" si="22"/>
        <v>0.47124460535032708</v>
      </c>
      <c r="AH28">
        <f t="shared" ca="1" si="22"/>
        <v>0.47120784708761976</v>
      </c>
      <c r="AI28">
        <f t="shared" ca="1" si="22"/>
        <v>0.47119367805998302</v>
      </c>
    </row>
    <row r="29" spans="1:39">
      <c r="A29" t="s">
        <v>19</v>
      </c>
      <c r="B29" s="28">
        <f ca="1">fbar*C29</f>
        <v>1.8349890939181969E-2</v>
      </c>
      <c r="C29" s="36">
        <f ca="1">CHOOSE(C$25,E38,E41,1)</f>
        <v>0.20158521594721132</v>
      </c>
      <c r="E29" s="42">
        <f ca="1">f3_/(F6/(365*re*phib))</f>
        <v>668.62378702349338</v>
      </c>
    </row>
    <row r="30" spans="1:39">
      <c r="A30" t="s">
        <v>95</v>
      </c>
      <c r="B30" s="28">
        <v>9.1027959828101759E-2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0.27308387948430529</v>
      </c>
      <c r="G31">
        <f ca="1">SUMPRODUCT(dlz1_,wa,ma)</f>
        <v>-24.490443595408923</v>
      </c>
      <c r="H31">
        <f ca="1">Ro/(reck-1)*phie/phif^2*dphif</f>
        <v>-7580.6116265056871</v>
      </c>
      <c r="J31" s="8" t="s">
        <v>52</v>
      </c>
      <c r="K31">
        <v>0</v>
      </c>
      <c r="L31">
        <f t="shared" ref="L31:AH31" ca="1" si="23">K31*sa-K$7*K18*K$10</f>
        <v>-9.5791339538564948E-8</v>
      </c>
      <c r="M31">
        <f t="shared" ca="1" si="23"/>
        <v>-2.8793592427435091E-7</v>
      </c>
      <c r="N31">
        <f t="shared" ca="1" si="23"/>
        <v>-6.7320374726486117E-7</v>
      </c>
      <c r="O31">
        <f t="shared" ca="1" si="23"/>
        <v>-1.4634611114599996E-6</v>
      </c>
      <c r="P31">
        <f t="shared" ca="1" si="23"/>
        <v>-3.139388940415086E-6</v>
      </c>
      <c r="Q31">
        <f t="shared" ca="1" si="23"/>
        <v>-8.306144563263273E-6</v>
      </c>
      <c r="R31">
        <f t="shared" ca="1" si="23"/>
        <v>-5.0200050690595886E-5</v>
      </c>
      <c r="S31">
        <f t="shared" ca="1" si="23"/>
        <v>-1.5426099661784893E-4</v>
      </c>
      <c r="T31">
        <f t="shared" ca="1" si="23"/>
        <v>-3.6965520491109366E-4</v>
      </c>
      <c r="U31">
        <f t="shared" ca="1" si="23"/>
        <v>-8.2315939459728547E-4</v>
      </c>
      <c r="V31">
        <f t="shared" ca="1" si="23"/>
        <v>-1.7854874832500104E-3</v>
      </c>
      <c r="W31">
        <f t="shared" ca="1" si="23"/>
        <v>-3.8145627391585907E-3</v>
      </c>
      <c r="X31">
        <f t="shared" ca="1" si="23"/>
        <v>-7.9732875498559532E-3</v>
      </c>
      <c r="Y31">
        <f t="shared" ca="1" si="23"/>
        <v>-1.5903606807307291E-2</v>
      </c>
      <c r="Z31">
        <f t="shared" ca="1" si="23"/>
        <v>-2.8853435002392042E-2</v>
      </c>
      <c r="AA31">
        <f t="shared" ca="1" si="23"/>
        <v>-4.4940240364708374E-2</v>
      </c>
      <c r="AB31">
        <f t="shared" ca="1" si="23"/>
        <v>-5.8440473506553667E-2</v>
      </c>
      <c r="AC31">
        <f t="shared" ca="1" si="23"/>
        <v>-6.4916938527693924E-2</v>
      </c>
      <c r="AD31">
        <f t="shared" ca="1" si="23"/>
        <v>-6.4401708547743242E-2</v>
      </c>
      <c r="AE31">
        <f t="shared" ca="1" si="23"/>
        <v>-5.9247628980409112E-2</v>
      </c>
      <c r="AF31">
        <f t="shared" ca="1" si="23"/>
        <v>-5.1822178572162161E-2</v>
      </c>
      <c r="AG31">
        <f t="shared" ca="1" si="23"/>
        <v>-4.3770334465694477E-2</v>
      </c>
      <c r="AH31">
        <f t="shared" ca="1" si="23"/>
        <v>-3.6049274404373575E-2</v>
      </c>
      <c r="AI31">
        <f ca="1">(AH31*sa-AH$7*AH18*AH$10)/oa-AH$7*AH$10*flt1_*sa/oa^2</f>
        <v>-0.13056742563432822</v>
      </c>
    </row>
    <row r="32" spans="1:39">
      <c r="A32" s="12" t="s">
        <v>22</v>
      </c>
      <c r="B32" s="12"/>
      <c r="C32" s="12"/>
      <c r="G32">
        <f ca="1">SUMPRODUCT(dlz2_,wa,ma)</f>
        <v>-64.225826337902006</v>
      </c>
      <c r="H32">
        <f ca="1">Ro/(reck-1)*phie/phif^2*dphif</f>
        <v>-19880.041942168249</v>
      </c>
      <c r="J32" s="8" t="s">
        <v>53</v>
      </c>
      <c r="K32">
        <v>0</v>
      </c>
      <c r="L32">
        <f t="shared" ref="L32:AH32" ca="1" si="24">K32*sa-K$7*K19*K$10</f>
        <v>-8.2750654113380642E-3</v>
      </c>
      <c r="M32">
        <f t="shared" ca="1" si="24"/>
        <v>-8.2677737178478788E-2</v>
      </c>
      <c r="N32">
        <f t="shared" ca="1" si="24"/>
        <v>-0.4228718397213429</v>
      </c>
      <c r="O32">
        <f t="shared" ca="1" si="24"/>
        <v>-0.7317106273684697</v>
      </c>
      <c r="P32">
        <f t="shared" ca="1" si="24"/>
        <v>-0.85985786780156614</v>
      </c>
      <c r="Q32">
        <f t="shared" ca="1" si="24"/>
        <v>-0.8731982686666111</v>
      </c>
      <c r="R32">
        <f t="shared" ca="1" si="24"/>
        <v>-0.8244080197675786</v>
      </c>
      <c r="S32">
        <f t="shared" ca="1" si="24"/>
        <v>-0.74927285406350297</v>
      </c>
      <c r="T32">
        <f t="shared" ca="1" si="24"/>
        <v>-0.66626954652263171</v>
      </c>
      <c r="U32">
        <f t="shared" ca="1" si="24"/>
        <v>-0.58424252293748524</v>
      </c>
      <c r="V32">
        <f t="shared" ca="1" si="24"/>
        <v>-0.5069368045791991</v>
      </c>
      <c r="W32">
        <f t="shared" ca="1" si="24"/>
        <v>-0.43511315439911202</v>
      </c>
      <c r="X32">
        <f t="shared" ca="1" si="24"/>
        <v>-0.36753961022434833</v>
      </c>
      <c r="Y32">
        <f t="shared" ca="1" si="24"/>
        <v>-0.30216187998955485</v>
      </c>
      <c r="Z32">
        <f t="shared" ca="1" si="24"/>
        <v>-0.23839440966805087</v>
      </c>
      <c r="AA32">
        <f t="shared" ca="1" si="24"/>
        <v>-0.18081594629675424</v>
      </c>
      <c r="AB32">
        <f t="shared" ca="1" si="24"/>
        <v>-0.13338846709381677</v>
      </c>
      <c r="AC32">
        <f t="shared" ca="1" si="24"/>
        <v>-9.697049500797307E-2</v>
      </c>
      <c r="AD32">
        <f t="shared" ca="1" si="24"/>
        <v>-7.0031713739327831E-2</v>
      </c>
      <c r="AE32">
        <f t="shared" ca="1" si="24"/>
        <v>-5.0435178568977224E-2</v>
      </c>
      <c r="AF32">
        <f t="shared" ca="1" si="24"/>
        <v>-3.6278812883620268E-2</v>
      </c>
      <c r="AG32">
        <f t="shared" ca="1" si="24"/>
        <v>-2.6081647036814485E-2</v>
      </c>
      <c r="AH32">
        <f t="shared" ca="1" si="24"/>
        <v>-1.8745268115028767E-2</v>
      </c>
      <c r="AI32">
        <f ca="1">(AH32*sa-AH$7*AH19*AH$10)/oa-AH$7*AH$10*flt2_*sa/oa^2</f>
        <v>-4.7815567055627256E-2</v>
      </c>
    </row>
    <row r="33" spans="1:35">
      <c r="A33" s="61" t="s">
        <v>130</v>
      </c>
      <c r="B33" s="62">
        <f ca="1">SUMPRODUCT(lz*wa)</f>
        <v>34.083121089952144</v>
      </c>
      <c r="C33" s="60"/>
      <c r="G33">
        <f ca="1">SUMPRODUCT(dlz3_,wa,ma)</f>
        <v>-105.93830514915348</v>
      </c>
      <c r="H33">
        <f ca="1">Ro/(reck-1)*phie/phif^2*dphif</f>
        <v>-32791.449635339734</v>
      </c>
      <c r="J33" s="8" t="s">
        <v>54</v>
      </c>
      <c r="K33">
        <v>0</v>
      </c>
      <c r="L33">
        <f t="shared" ref="L33:AH33" ca="1" si="25">K33*sa-K$7*K20*K$10</f>
        <v>-1.9366403627155445E-5</v>
      </c>
      <c r="M33">
        <f t="shared" ca="1" si="25"/>
        <v>-7.5164682082712509E-5</v>
      </c>
      <c r="N33">
        <f t="shared" ca="1" si="25"/>
        <v>-2.3504791228178142E-4</v>
      </c>
      <c r="O33">
        <f t="shared" ca="1" si="25"/>
        <v>-6.9272298486357459E-4</v>
      </c>
      <c r="P33">
        <f t="shared" ca="1" si="25"/>
        <v>-2.035728480570743E-3</v>
      </c>
      <c r="Q33">
        <f t="shared" ca="1" si="25"/>
        <v>-1.2753308426827207E-2</v>
      </c>
      <c r="R33">
        <f t="shared" ca="1" si="25"/>
        <v>-0.15420413823874893</v>
      </c>
      <c r="S33">
        <f t="shared" ca="1" si="25"/>
        <v>-0.3426625465223867</v>
      </c>
      <c r="T33">
        <f t="shared" ca="1" si="25"/>
        <v>-0.47525519576040953</v>
      </c>
      <c r="U33">
        <f t="shared" ca="1" si="25"/>
        <v>-0.54659746707681944</v>
      </c>
      <c r="V33">
        <f t="shared" ca="1" si="25"/>
        <v>-0.57177042154430902</v>
      </c>
      <c r="W33">
        <f t="shared" ca="1" si="25"/>
        <v>-0.56428389109999844</v>
      </c>
      <c r="X33">
        <f t="shared" ca="1" si="25"/>
        <v>-0.5322478358996402</v>
      </c>
      <c r="Y33">
        <f t="shared" ca="1" si="25"/>
        <v>-0.47935165510776284</v>
      </c>
      <c r="Z33">
        <f t="shared" ca="1" si="25"/>
        <v>-0.40893974014204842</v>
      </c>
      <c r="AA33">
        <f t="shared" ca="1" si="25"/>
        <v>-0.33389762985660398</v>
      </c>
      <c r="AB33">
        <f t="shared" ca="1" si="25"/>
        <v>-0.26390767224605033</v>
      </c>
      <c r="AC33">
        <f t="shared" ca="1" si="25"/>
        <v>-0.20453381784715058</v>
      </c>
      <c r="AD33">
        <f t="shared" ca="1" si="25"/>
        <v>-0.15671853736923352</v>
      </c>
      <c r="AE33">
        <f t="shared" ca="1" si="25"/>
        <v>-0.1192194240520778</v>
      </c>
      <c r="AF33">
        <f t="shared" ca="1" si="25"/>
        <v>-9.0228832384965346E-2</v>
      </c>
      <c r="AG33">
        <f t="shared" ca="1" si="25"/>
        <v>-6.8012321364110409E-2</v>
      </c>
      <c r="AH33">
        <f t="shared" ca="1" si="25"/>
        <v>-5.1092077595481677E-2</v>
      </c>
      <c r="AI33">
        <f ca="1">(AH33*sa-AH$7*AH20*AH$10)/oa-AH$7*AH$10*flt3_*sa/oa^2</f>
        <v>-0.14889494588269017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17.13759438181506</v>
      </c>
      <c r="F35" s="37"/>
      <c r="G35" s="1">
        <f ca="1">SUM(dqa11_)</f>
        <v>291.96417269116625</v>
      </c>
      <c r="H35" s="1">
        <f ca="1">SUM(dqa12_)</f>
        <v>294.25233329145641</v>
      </c>
      <c r="I35" s="11">
        <f ca="1">SUM(dqa13_)</f>
        <v>292.58236489322724</v>
      </c>
      <c r="J35" s="8" t="s">
        <v>62</v>
      </c>
      <c r="K35">
        <f ca="1">flt1_*qa1_+lz*wa*flt1_^2/za*(sa-oa/za)</f>
        <v>3.0216081278432008E-16</v>
      </c>
      <c r="L35">
        <f t="shared" ref="L35:AI35" ca="1" si="26">flt1_*qa1_+lz*wa*flt1_^2/za*(sa-oa/za)</f>
        <v>1.279260876501066E-14</v>
      </c>
      <c r="M35">
        <f t="shared" ca="1" si="26"/>
        <v>2.5433034658243493E-13</v>
      </c>
      <c r="N35">
        <f t="shared" ca="1" si="26"/>
        <v>3.6991884611850838E-12</v>
      </c>
      <c r="O35">
        <f t="shared" ca="1" si="26"/>
        <v>4.550426735033192E-11</v>
      </c>
      <c r="P35">
        <f t="shared" ca="1" si="26"/>
        <v>9.4026850303743413E-10</v>
      </c>
      <c r="Q35">
        <f t="shared" ca="1" si="26"/>
        <v>1.1599987913929551E-7</v>
      </c>
      <c r="R35">
        <f t="shared" ca="1" si="26"/>
        <v>1.5702811355995952E-6</v>
      </c>
      <c r="S35">
        <f t="shared" ca="1" si="26"/>
        <v>1.3648152558357257E-5</v>
      </c>
      <c r="T35">
        <f t="shared" ca="1" si="26"/>
        <v>1.1206762674951729E-4</v>
      </c>
      <c r="U35">
        <f t="shared" ca="1" si="26"/>
        <v>8.8491247640905496E-4</v>
      </c>
      <c r="V35">
        <f t="shared" ca="1" si="26"/>
        <v>6.6979334101158628E-3</v>
      </c>
      <c r="W35">
        <f t="shared" ca="1" si="26"/>
        <v>4.767975735587749E-2</v>
      </c>
      <c r="X35">
        <f t="shared" ca="1" si="26"/>
        <v>0.30351095386210358</v>
      </c>
      <c r="Y35">
        <f t="shared" ca="1" si="26"/>
        <v>1.55968883172046</v>
      </c>
      <c r="Z35">
        <f t="shared" ca="1" si="26"/>
        <v>5.6137711243389683</v>
      </c>
      <c r="AA35">
        <f t="shared" ca="1" si="26"/>
        <v>13.068841206038565</v>
      </c>
      <c r="AB35">
        <f t="shared" ca="1" si="26"/>
        <v>21.059704941387256</v>
      </c>
      <c r="AC35">
        <f t="shared" ca="1" si="26"/>
        <v>27.126022419728507</v>
      </c>
      <c r="AD35">
        <f t="shared" ca="1" si="26"/>
        <v>31.259583969566176</v>
      </c>
      <c r="AE35">
        <f t="shared" ca="1" si="26"/>
        <v>34.226220176392026</v>
      </c>
      <c r="AF35">
        <f t="shared" ca="1" si="26"/>
        <v>36.585059161563485</v>
      </c>
      <c r="AG35">
        <f t="shared" ca="1" si="26"/>
        <v>38.622923374945401</v>
      </c>
      <c r="AH35">
        <f t="shared" ca="1" si="26"/>
        <v>40.470472971060119</v>
      </c>
      <c r="AI35">
        <f t="shared" ca="1" si="26"/>
        <v>42.012983554270676</v>
      </c>
    </row>
    <row r="36" spans="1:35">
      <c r="A36" t="s">
        <v>33</v>
      </c>
      <c r="B36" s="1">
        <f ca="1">SUMPRODUCT(lz,ta1_)</f>
        <v>0.19933064734897218</v>
      </c>
      <c r="C36" s="29">
        <f ca="1">B11/(phi_t1/SUM(B$36:B$38))</f>
        <v>4.3890096636069895</v>
      </c>
      <c r="E36" s="38">
        <f ca="1">C36/AVERAGE(C$36:C$38)</f>
        <v>2.2490420163725062</v>
      </c>
      <c r="G36" s="1">
        <f ca="1">SUM(dqa21_)</f>
        <v>294.25233329145641</v>
      </c>
      <c r="H36" s="1">
        <f ca="1">SUM(dqa22_)</f>
        <v>5.3013374194532785</v>
      </c>
      <c r="I36" s="11">
        <f ca="1">SUM(dqa23_)</f>
        <v>293.17542780694345</v>
      </c>
      <c r="J36" s="8" t="s">
        <v>63</v>
      </c>
      <c r="K36">
        <f t="shared" ref="K36:AI36" ca="1" si="27">flt2_*qa2_+lz*wa*flt2_^2/za*(sa-oa/za)</f>
        <v>2.2549063932448658E-6</v>
      </c>
      <c r="L36">
        <f t="shared" ca="1" si="27"/>
        <v>1.6837417920038877E-3</v>
      </c>
      <c r="M36">
        <f t="shared" ca="1" si="27"/>
        <v>0.1664700439479937</v>
      </c>
      <c r="N36">
        <f t="shared" ca="1" si="27"/>
        <v>0.65988685285605109</v>
      </c>
      <c r="O36">
        <f t="shared" ca="1" si="27"/>
        <v>0.78685938950479406</v>
      </c>
      <c r="P36">
        <f t="shared" ca="1" si="27"/>
        <v>0.74480302626798289</v>
      </c>
      <c r="Q36">
        <f t="shared" ca="1" si="27"/>
        <v>0.63602970533949932</v>
      </c>
      <c r="R36">
        <f t="shared" ca="1" si="27"/>
        <v>0.50822326497101478</v>
      </c>
      <c r="S36">
        <f t="shared" ca="1" si="27"/>
        <v>0.38714620470520267</v>
      </c>
      <c r="T36">
        <f t="shared" ca="1" si="27"/>
        <v>0.28349375027837265</v>
      </c>
      <c r="U36">
        <f t="shared" ca="1" si="27"/>
        <v>0.20097866907499518</v>
      </c>
      <c r="V36">
        <f t="shared" ca="1" si="27"/>
        <v>0.13870402509846383</v>
      </c>
      <c r="W36">
        <f t="shared" ca="1" si="27"/>
        <v>9.3536353126232832E-2</v>
      </c>
      <c r="X36">
        <f t="shared" ca="1" si="27"/>
        <v>6.1747237283091339E-2</v>
      </c>
      <c r="Y36">
        <f t="shared" ca="1" si="27"/>
        <v>3.9919565125203893E-2</v>
      </c>
      <c r="Z36">
        <f t="shared" ca="1" si="27"/>
        <v>4.3556774279556669E-2</v>
      </c>
      <c r="AA36">
        <f t="shared" ca="1" si="27"/>
        <v>4.698927654155112E-2</v>
      </c>
      <c r="AB36">
        <f t="shared" ca="1" si="27"/>
        <v>5.0488514213902561E-2</v>
      </c>
      <c r="AC36">
        <f t="shared" ca="1" si="27"/>
        <v>5.4106117155131257E-2</v>
      </c>
      <c r="AD36">
        <f t="shared" ca="1" si="27"/>
        <v>5.7741731810193153E-2</v>
      </c>
      <c r="AE36">
        <f t="shared" ca="1" si="27"/>
        <v>6.1301054198210546E-2</v>
      </c>
      <c r="AF36">
        <f t="shared" ca="1" si="27"/>
        <v>6.4732239327789806E-2</v>
      </c>
      <c r="AG36">
        <f t="shared" ca="1" si="27"/>
        <v>6.8012415841221516E-2</v>
      </c>
      <c r="AH36">
        <f t="shared" ca="1" si="27"/>
        <v>7.1133438525944989E-2</v>
      </c>
      <c r="AI36">
        <f t="shared" ca="1" si="27"/>
        <v>7.3791773282482667E-2</v>
      </c>
    </row>
    <row r="37" spans="1:35">
      <c r="A37" t="s">
        <v>34</v>
      </c>
      <c r="B37" s="1">
        <f ca="1">SUMPRODUCT(lz,ta2_)</f>
        <v>1.6774852432923535</v>
      </c>
      <c r="C37" s="29">
        <f ca="1">B12/(phi_t2/SUM(B$36:B$38))</f>
        <v>1.0135477134986666</v>
      </c>
      <c r="E37" s="38">
        <f ca="1">C37/AVERAGE(C$36:C$38)</f>
        <v>0.51936805064663016</v>
      </c>
      <c r="G37" s="1">
        <f ca="1">SUM(dqa31_)</f>
        <v>292.58236489322724</v>
      </c>
      <c r="H37" s="1">
        <f ca="1">SUM(dqa32_)</f>
        <v>293.17542780694345</v>
      </c>
      <c r="I37" s="1">
        <f ca="1">SUM(dqa33_)</f>
        <v>170.93634611823728</v>
      </c>
      <c r="J37" s="8" t="s">
        <v>64</v>
      </c>
      <c r="K37">
        <f t="shared" ref="K37:AI37" ca="1" si="28">flt3_*qa3_+lz*wa*flt3_^2/za*(sa-oa/za)</f>
        <v>1.2350473414931658E-11</v>
      </c>
      <c r="L37">
        <f t="shared" ca="1" si="28"/>
        <v>1.0262344306189211E-9</v>
      </c>
      <c r="M37">
        <f t="shared" ca="1" si="28"/>
        <v>3.9859337467286853E-8</v>
      </c>
      <c r="N37">
        <f t="shared" ca="1" si="28"/>
        <v>1.1132011842501064E-6</v>
      </c>
      <c r="O37">
        <f t="shared" ca="1" si="28"/>
        <v>2.6195302270834287E-5</v>
      </c>
      <c r="P37">
        <f t="shared" ca="1" si="28"/>
        <v>3.5387556622777207E-3</v>
      </c>
      <c r="Q37">
        <f t="shared" ca="1" si="28"/>
        <v>1.2752698077842346</v>
      </c>
      <c r="R37">
        <f t="shared" ca="1" si="28"/>
        <v>5.7043952271887965</v>
      </c>
      <c r="S37">
        <f t="shared" ca="1" si="28"/>
        <v>8.4145767019659861</v>
      </c>
      <c r="T37">
        <f t="shared" ca="1" si="28"/>
        <v>9.3492380122913765</v>
      </c>
      <c r="U37">
        <f t="shared" ca="1" si="28"/>
        <v>9.4208812964203776</v>
      </c>
      <c r="V37">
        <f t="shared" ca="1" si="28"/>
        <v>9.0874867953799399</v>
      </c>
      <c r="W37">
        <f t="shared" ca="1" si="28"/>
        <v>8.529160558736141</v>
      </c>
      <c r="X37">
        <f t="shared" ca="1" si="28"/>
        <v>7.8280194118969071</v>
      </c>
      <c r="Y37">
        <f t="shared" ca="1" si="28"/>
        <v>7.034166508046841</v>
      </c>
      <c r="Z37">
        <f t="shared" ca="1" si="28"/>
        <v>7.6750736606189092</v>
      </c>
      <c r="AA37">
        <f t="shared" ca="1" si="28"/>
        <v>8.2799097196889058</v>
      </c>
      <c r="AB37">
        <f t="shared" ca="1" si="28"/>
        <v>8.8965051250083302</v>
      </c>
      <c r="AC37">
        <f t="shared" ca="1" si="28"/>
        <v>9.5339574962651614</v>
      </c>
      <c r="AD37">
        <f t="shared" ca="1" si="28"/>
        <v>10.174583684516254</v>
      </c>
      <c r="AE37">
        <f t="shared" ca="1" si="28"/>
        <v>10.801766527180186</v>
      </c>
      <c r="AF37">
        <f t="shared" ca="1" si="28"/>
        <v>11.406370496329048</v>
      </c>
      <c r="AG37">
        <f t="shared" ca="1" si="28"/>
        <v>11.984365464432928</v>
      </c>
      <c r="AH37">
        <f t="shared" ca="1" si="28"/>
        <v>12.534316175841743</v>
      </c>
      <c r="AI37">
        <f t="shared" ca="1" si="28"/>
        <v>13.002737343581572</v>
      </c>
    </row>
    <row r="38" spans="1:35">
      <c r="A38" t="s">
        <v>35</v>
      </c>
      <c r="B38" s="1">
        <f ca="1">SUMPRODUCT(lz,ta3_)</f>
        <v>1.2740758419779092</v>
      </c>
      <c r="C38" s="29">
        <f ca="1">B13/(phi_t3/SUM(B$36:B$38))</f>
        <v>0.45194818346993176</v>
      </c>
      <c r="E38" s="38">
        <f ca="1">C38/AVERAGE(C$36:C$38)</f>
        <v>0.23158993298086389</v>
      </c>
      <c r="G38" t="s">
        <v>69</v>
      </c>
      <c r="J38" s="8" t="s">
        <v>60</v>
      </c>
      <c r="K38">
        <f t="shared" ref="K38:AI38" ca="1" si="29">flt1_*qa1_+lz*wa*flt2_*flt1_/za*(sa-oa/za)</f>
        <v>-2.4823050199395351E-11</v>
      </c>
      <c r="L38">
        <f t="shared" ca="1" si="29"/>
        <v>-3.3431639518922913E-9</v>
      </c>
      <c r="M38">
        <f t="shared" ca="1" si="29"/>
        <v>-1.1338764640415187E-7</v>
      </c>
      <c r="N38">
        <f t="shared" ca="1" si="29"/>
        <v>-6.4291530107856235E-7</v>
      </c>
      <c r="O38">
        <f t="shared" ca="1" si="29"/>
        <v>-1.855820541130688E-6</v>
      </c>
      <c r="P38">
        <f t="shared" ca="1" si="29"/>
        <v>-6.3882885379158592E-6</v>
      </c>
      <c r="Q38">
        <f t="shared" ca="1" si="29"/>
        <v>-5.2068605477636456E-5</v>
      </c>
      <c r="R38">
        <f t="shared" ca="1" si="29"/>
        <v>-1.3593411517627487E-4</v>
      </c>
      <c r="S38">
        <f t="shared" ca="1" si="29"/>
        <v>-2.7074175707417702E-4</v>
      </c>
      <c r="T38">
        <f t="shared" ca="1" si="29"/>
        <v>-4.4817633198138834E-4</v>
      </c>
      <c r="U38">
        <f t="shared" ca="1" si="29"/>
        <v>-1.5289382464515314E-4</v>
      </c>
      <c r="V38">
        <f t="shared" ca="1" si="29"/>
        <v>5.0581834529728215E-3</v>
      </c>
      <c r="W38">
        <f t="shared" ca="1" si="29"/>
        <v>4.658671900269578E-2</v>
      </c>
      <c r="X38">
        <f t="shared" ca="1" si="29"/>
        <v>0.31140786364382023</v>
      </c>
      <c r="Y38">
        <f t="shared" ca="1" si="29"/>
        <v>1.6105598822867691</v>
      </c>
      <c r="Z38">
        <f t="shared" ca="1" si="29"/>
        <v>5.7726242225797426</v>
      </c>
      <c r="AA38">
        <f t="shared" ca="1" si="29"/>
        <v>13.362189252364383</v>
      </c>
      <c r="AB38">
        <f t="shared" ca="1" si="29"/>
        <v>21.414426740510454</v>
      </c>
      <c r="AC38">
        <f t="shared" ca="1" si="29"/>
        <v>27.458232722961352</v>
      </c>
      <c r="AD38">
        <f t="shared" ca="1" si="29"/>
        <v>31.533850201907377</v>
      </c>
      <c r="AE38">
        <f t="shared" ca="1" si="29"/>
        <v>34.440078487814347</v>
      </c>
      <c r="AF38">
        <f t="shared" ca="1" si="29"/>
        <v>36.747517466873383</v>
      </c>
      <c r="AG38">
        <f t="shared" ca="1" si="29"/>
        <v>38.744738072945204</v>
      </c>
      <c r="AH38">
        <f t="shared" ca="1" si="29"/>
        <v>40.561126550023857</v>
      </c>
      <c r="AI38">
        <f t="shared" ca="1" si="29"/>
        <v>42.245005743504407</v>
      </c>
    </row>
    <row r="39" spans="1:35">
      <c r="A39" s="1" t="s">
        <v>36</v>
      </c>
      <c r="B39" s="1">
        <f ca="1">SUMPRODUCT(lz,qa1_)</f>
        <v>6.7603855015502283</v>
      </c>
      <c r="C39" s="23">
        <f ca="1">B4/(phi_q1/SUM(B$39:B$41))</f>
        <v>2.7882101457434016</v>
      </c>
      <c r="D39" s="21"/>
      <c r="E39" s="39">
        <f ca="1">C39/AVERAGE(C$39:C$41)</f>
        <v>1.9564134845599228</v>
      </c>
      <c r="G39" s="1">
        <f ca="1">re*phi_q1+f1_*phi_q1*$H31+f1_*re*G35</f>
        <v>1175255.2844198928</v>
      </c>
      <c r="H39" s="1">
        <f ca="1">re*phi_q1+f1_*phi_q1*$H32+f1_*re*H35</f>
        <v>1168661.5947842549</v>
      </c>
      <c r="I39" s="1">
        <f ca="1">re*phi_q1+f1_*phi_q1*$H33+f1_*re*I35</f>
        <v>1147122.0214475137</v>
      </c>
      <c r="J39" s="8" t="s">
        <v>66</v>
      </c>
      <c r="K39">
        <f t="shared" ref="K39:AI39" ca="1" si="30">flt1_*qa1_+lz*wa*flt3_*flt1_/za*(sa-oa/za)</f>
        <v>-5.7506051299123797E-14</v>
      </c>
      <c r="L39">
        <f t="shared" ca="1" si="30"/>
        <v>-2.5880257276153635E-12</v>
      </c>
      <c r="M39">
        <f t="shared" ca="1" si="30"/>
        <v>-5.5089068189603993E-11</v>
      </c>
      <c r="N39">
        <f t="shared" ca="1" si="30"/>
        <v>-8.2982263772154373E-10</v>
      </c>
      <c r="O39">
        <f t="shared" ca="1" si="30"/>
        <v>-1.0648498539361066E-8</v>
      </c>
      <c r="P39">
        <f t="shared" ca="1" si="30"/>
        <v>-4.3925414073430689E-7</v>
      </c>
      <c r="Q39">
        <f t="shared" ca="1" si="30"/>
        <v>-7.378652063306368E-5</v>
      </c>
      <c r="R39">
        <f t="shared" ca="1" si="30"/>
        <v>-4.5967321705629266E-4</v>
      </c>
      <c r="S39">
        <f t="shared" ca="1" si="30"/>
        <v>-1.3184175510688302E-3</v>
      </c>
      <c r="T39">
        <f t="shared" ca="1" si="30"/>
        <v>-3.1591476491385686E-3</v>
      </c>
      <c r="U39">
        <f t="shared" ca="1" si="30"/>
        <v>-6.6516932187789856E-3</v>
      </c>
      <c r="V39">
        <f t="shared" ca="1" si="30"/>
        <v>-9.85087955380963E-3</v>
      </c>
      <c r="W39">
        <f t="shared" ca="1" si="30"/>
        <v>1.3917642109803632E-2</v>
      </c>
      <c r="X39">
        <f t="shared" ca="1" si="30"/>
        <v>0.24483955849395356</v>
      </c>
      <c r="Y39">
        <f t="shared" ca="1" si="30"/>
        <v>1.4916397894515967</v>
      </c>
      <c r="Z39">
        <f t="shared" ca="1" si="30"/>
        <v>5.5842851766811838</v>
      </c>
      <c r="AA39">
        <f t="shared" ca="1" si="30"/>
        <v>13.132512201212094</v>
      </c>
      <c r="AB39">
        <f t="shared" ca="1" si="30"/>
        <v>21.190266077817757</v>
      </c>
      <c r="AC39">
        <f t="shared" ca="1" si="30"/>
        <v>27.267605698988685</v>
      </c>
      <c r="AD39">
        <f t="shared" ca="1" si="30"/>
        <v>31.382667286247518</v>
      </c>
      <c r="AE39">
        <f t="shared" ca="1" si="30"/>
        <v>34.324078142815054</v>
      </c>
      <c r="AF39">
        <f t="shared" ca="1" si="30"/>
        <v>36.659956119107669</v>
      </c>
      <c r="AG39">
        <f t="shared" ca="1" si="30"/>
        <v>38.6792461364427</v>
      </c>
      <c r="AH39">
        <f t="shared" ca="1" si="30"/>
        <v>40.512435218783992</v>
      </c>
      <c r="AI39">
        <f t="shared" ca="1" si="30"/>
        <v>42.120429893575889</v>
      </c>
    </row>
    <row r="40" spans="1:35">
      <c r="A40" s="1" t="s">
        <v>37</v>
      </c>
      <c r="B40" s="1">
        <f ca="1">SUMPRODUCT(lz,qa2_)</f>
        <v>5.8581694926799841</v>
      </c>
      <c r="C40" s="23">
        <f ca="1">B5/(phi_q2/SUM(B$39:B$41))</f>
        <v>1.1999899737468973</v>
      </c>
      <c r="D40" s="21"/>
      <c r="E40" s="39">
        <f ca="1">C40/AVERAGE(C$39:C$41)</f>
        <v>0.84200129949286606</v>
      </c>
      <c r="G40" s="1">
        <f ca="1">re*phi_q1+f1_*phi_q1*$H32+f1_*re*G36</f>
        <v>1168661.5947842549</v>
      </c>
      <c r="H40" s="1">
        <f ca="1">re*phi_q2+f2_*phi_q2*$H32+f2_*re*H36</f>
        <v>117351.60851092653</v>
      </c>
      <c r="I40" s="1">
        <f ca="1">re*phi_q3+f3_*phi_q3*$H33+f3_*re*I36</f>
        <v>472299.5895023034</v>
      </c>
      <c r="J40" s="8" t="s">
        <v>65</v>
      </c>
      <c r="K40">
        <f t="shared" ref="K40:AI40" ca="1" si="31">flt1_*qa1_+lz*wa*flt1_*flt2_/za*(sa-oa/za)</f>
        <v>-2.4823050199395351E-11</v>
      </c>
      <c r="L40">
        <f t="shared" ca="1" si="31"/>
        <v>-3.3431639518922917E-9</v>
      </c>
      <c r="M40">
        <f t="shared" ca="1" si="31"/>
        <v>-1.1338764640415187E-7</v>
      </c>
      <c r="N40">
        <f t="shared" ca="1" si="31"/>
        <v>-6.4291530107856235E-7</v>
      </c>
      <c r="O40">
        <f t="shared" ca="1" si="31"/>
        <v>-1.855820541130688E-6</v>
      </c>
      <c r="P40">
        <f t="shared" ca="1" si="31"/>
        <v>-6.3882885379158592E-6</v>
      </c>
      <c r="Q40">
        <f t="shared" ca="1" si="31"/>
        <v>-5.2068605477636456E-5</v>
      </c>
      <c r="R40">
        <f t="shared" ca="1" si="31"/>
        <v>-1.3593411517627487E-4</v>
      </c>
      <c r="S40">
        <f t="shared" ca="1" si="31"/>
        <v>-2.7074175707417707E-4</v>
      </c>
      <c r="T40">
        <f t="shared" ca="1" si="31"/>
        <v>-4.4817633198138834E-4</v>
      </c>
      <c r="U40">
        <f t="shared" ca="1" si="31"/>
        <v>-1.528938246451527E-4</v>
      </c>
      <c r="V40">
        <f t="shared" ca="1" si="31"/>
        <v>5.0581834529728215E-3</v>
      </c>
      <c r="W40">
        <f t="shared" ca="1" si="31"/>
        <v>4.658671900269578E-2</v>
      </c>
      <c r="X40">
        <f t="shared" ca="1" si="31"/>
        <v>0.31140786364382023</v>
      </c>
      <c r="Y40">
        <f t="shared" ca="1" si="31"/>
        <v>1.6105598822867691</v>
      </c>
      <c r="Z40">
        <f t="shared" ca="1" si="31"/>
        <v>5.7726242225797426</v>
      </c>
      <c r="AA40">
        <f t="shared" ca="1" si="31"/>
        <v>13.362189252364383</v>
      </c>
      <c r="AB40">
        <f t="shared" ca="1" si="31"/>
        <v>21.414426740510454</v>
      </c>
      <c r="AC40">
        <f t="shared" ca="1" si="31"/>
        <v>27.458232722961352</v>
      </c>
      <c r="AD40">
        <f t="shared" ca="1" si="31"/>
        <v>31.533850201907377</v>
      </c>
      <c r="AE40">
        <f t="shared" ca="1" si="31"/>
        <v>34.440078487814347</v>
      </c>
      <c r="AF40">
        <f t="shared" ca="1" si="31"/>
        <v>36.747517466873383</v>
      </c>
      <c r="AG40">
        <f t="shared" ca="1" si="31"/>
        <v>38.744738072945204</v>
      </c>
      <c r="AH40">
        <f t="shared" ca="1" si="31"/>
        <v>40.561126550023857</v>
      </c>
      <c r="AI40">
        <f t="shared" ca="1" si="31"/>
        <v>42.245005743504407</v>
      </c>
    </row>
    <row r="41" spans="1:35">
      <c r="A41" s="1" t="s">
        <v>38</v>
      </c>
      <c r="B41" s="1">
        <f ca="1">SUMPRODUCT(lz,qa3_)</f>
        <v>18.605887853935144</v>
      </c>
      <c r="C41" s="23">
        <f ca="1">B6/(phi_q3/SUM(B$39:B$41))</f>
        <v>0.28729200078188982</v>
      </c>
      <c r="D41" s="21"/>
      <c r="E41" s="39">
        <f ca="1">C41/AVERAGE(C$39:C$41)</f>
        <v>0.20158521594721132</v>
      </c>
      <c r="G41" s="1">
        <f ca="1">re*phi_q1+f1_*phi_q1*$H33+f1_*re*G37</f>
        <v>1147122.0214475137</v>
      </c>
      <c r="H41" s="1">
        <f ca="1">re*phi_q3+f3_*phi_q3*$H33+f3_*re*H37</f>
        <v>472299.5895023034</v>
      </c>
      <c r="I41" s="1">
        <f ca="1">re*phi_q3+f1_*phi_q3*$H33+f3_*re*I37</f>
        <v>329625.71031942969</v>
      </c>
      <c r="J41" s="8" t="s">
        <v>67</v>
      </c>
      <c r="K41">
        <f t="shared" ref="K41:AI41" ca="1" si="32">flt1_*qa1_+lz*wa*flt3_*flt2_/za*(sa-oa/za)</f>
        <v>-5.0186642350380074E-9</v>
      </c>
      <c r="L41">
        <f t="shared" ca="1" si="32"/>
        <v>-9.4690030351015124E-7</v>
      </c>
      <c r="M41">
        <f t="shared" ca="1" si="32"/>
        <v>-4.4888303711725651E-5</v>
      </c>
      <c r="N41">
        <f t="shared" ca="1" si="32"/>
        <v>-3.5268816259248861E-4</v>
      </c>
      <c r="O41">
        <f t="shared" ca="1" si="32"/>
        <v>-1.4081066653955437E-3</v>
      </c>
      <c r="P41">
        <f t="shared" ca="1" si="32"/>
        <v>-1.2395475054627623E-2</v>
      </c>
      <c r="Q41">
        <f t="shared" ca="1" si="32"/>
        <v>-0.17310110370471987</v>
      </c>
      <c r="R41">
        <f t="shared" ca="1" si="32"/>
        <v>-0.26253894959110757</v>
      </c>
      <c r="S41">
        <f t="shared" ca="1" si="32"/>
        <v>-0.22462081499572983</v>
      </c>
      <c r="T41">
        <f t="shared" ca="1" si="32"/>
        <v>-0.16497654162234404</v>
      </c>
      <c r="U41">
        <f t="shared" ca="1" si="32"/>
        <v>-0.11373256786873333</v>
      </c>
      <c r="V41">
        <f t="shared" ca="1" si="32"/>
        <v>-7.0249791048429613E-2</v>
      </c>
      <c r="W41">
        <f t="shared" ca="1" si="32"/>
        <v>-7.0148787708149141E-4</v>
      </c>
      <c r="X41">
        <f t="shared" ca="1" si="32"/>
        <v>0.2849443200539738</v>
      </c>
      <c r="Y41">
        <f t="shared" ca="1" si="32"/>
        <v>1.5996731902726049</v>
      </c>
      <c r="Z41">
        <f t="shared" ca="1" si="32"/>
        <v>5.7700269615826807</v>
      </c>
      <c r="AA41">
        <f t="shared" ca="1" si="32"/>
        <v>13.366007134146537</v>
      </c>
      <c r="AB41">
        <f t="shared" ca="1" si="32"/>
        <v>21.420819436854121</v>
      </c>
      <c r="AC41">
        <f t="shared" ca="1" si="32"/>
        <v>27.464555998300717</v>
      </c>
      <c r="AD41">
        <f t="shared" ca="1" si="32"/>
        <v>31.539140163224467</v>
      </c>
      <c r="AE41">
        <f t="shared" ca="1" si="32"/>
        <v>34.444219921276002</v>
      </c>
      <c r="AF41">
        <f t="shared" ca="1" si="32"/>
        <v>36.750667917014852</v>
      </c>
      <c r="AG41">
        <f t="shared" ca="1" si="32"/>
        <v>38.747101572199206</v>
      </c>
      <c r="AH41">
        <f t="shared" ca="1" si="32"/>
        <v>40.562885795749949</v>
      </c>
      <c r="AI41">
        <f t="shared" ca="1" si="32"/>
        <v>42.249508763081813</v>
      </c>
    </row>
    <row r="42" spans="1:35">
      <c r="A42" s="1" t="s">
        <v>96</v>
      </c>
      <c r="B42" s="1">
        <f ca="1">SUMPRODUCT(lz/SUM(lz),len,ta1_)</f>
        <v>5.0174693343004098</v>
      </c>
      <c r="J42" s="8" t="s">
        <v>68</v>
      </c>
      <c r="K42">
        <f t="shared" ref="K42:AI42" ca="1" si="33">flt1_*qa1_+lz*wa*flt1_*flt3_/za*(sa-oa/za)</f>
        <v>-5.7506051299123797E-14</v>
      </c>
      <c r="L42">
        <f t="shared" ca="1" si="33"/>
        <v>-2.5880257276153635E-12</v>
      </c>
      <c r="M42">
        <f t="shared" ca="1" si="33"/>
        <v>-5.5089068189603993E-11</v>
      </c>
      <c r="N42">
        <f t="shared" ca="1" si="33"/>
        <v>-8.2982263772154352E-10</v>
      </c>
      <c r="O42">
        <f t="shared" ca="1" si="33"/>
        <v>-1.0648498539361064E-8</v>
      </c>
      <c r="P42">
        <f t="shared" ca="1" si="33"/>
        <v>-4.39254140734307E-7</v>
      </c>
      <c r="Q42">
        <f t="shared" ca="1" si="33"/>
        <v>-7.378652063306368E-5</v>
      </c>
      <c r="R42">
        <f t="shared" ca="1" si="33"/>
        <v>-4.5967321705629261E-4</v>
      </c>
      <c r="S42">
        <f t="shared" ca="1" si="33"/>
        <v>-1.3184175510688302E-3</v>
      </c>
      <c r="T42">
        <f t="shared" ca="1" si="33"/>
        <v>-3.159147649138569E-3</v>
      </c>
      <c r="U42">
        <f t="shared" ca="1" si="33"/>
        <v>-6.6516932187789838E-3</v>
      </c>
      <c r="V42">
        <f t="shared" ca="1" si="33"/>
        <v>-9.85087955380963E-3</v>
      </c>
      <c r="W42">
        <f t="shared" ca="1" si="33"/>
        <v>1.3917642109803639E-2</v>
      </c>
      <c r="X42">
        <f t="shared" ca="1" si="33"/>
        <v>0.24483955849395356</v>
      </c>
      <c r="Y42">
        <f t="shared" ca="1" si="33"/>
        <v>1.4916397894515967</v>
      </c>
      <c r="Z42">
        <f t="shared" ca="1" si="33"/>
        <v>5.5842851766811838</v>
      </c>
      <c r="AA42">
        <f t="shared" ca="1" si="33"/>
        <v>13.132512201212094</v>
      </c>
      <c r="AB42">
        <f t="shared" ca="1" si="33"/>
        <v>21.190266077817757</v>
      </c>
      <c r="AC42">
        <f t="shared" ca="1" si="33"/>
        <v>27.267605698988685</v>
      </c>
      <c r="AD42">
        <f t="shared" ca="1" si="33"/>
        <v>31.382667286247518</v>
      </c>
      <c r="AE42">
        <f t="shared" ca="1" si="33"/>
        <v>34.324078142815054</v>
      </c>
      <c r="AF42">
        <f t="shared" ca="1" si="33"/>
        <v>36.659956119107669</v>
      </c>
      <c r="AG42">
        <f t="shared" ca="1" si="33"/>
        <v>38.6792461364427</v>
      </c>
      <c r="AH42">
        <f t="shared" ca="1" si="33"/>
        <v>40.512435218783992</v>
      </c>
      <c r="AI42">
        <f t="shared" ca="1" si="33"/>
        <v>42.120429893575889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-5.0186642350380065E-9</v>
      </c>
      <c r="L43">
        <f t="shared" ca="1" si="34"/>
        <v>-9.4690030351015103E-7</v>
      </c>
      <c r="M43">
        <f t="shared" ca="1" si="34"/>
        <v>-4.4888303711725651E-5</v>
      </c>
      <c r="N43">
        <f t="shared" ca="1" si="34"/>
        <v>-3.5268816259248861E-4</v>
      </c>
      <c r="O43">
        <f t="shared" ca="1" si="34"/>
        <v>-1.4081066653955437E-3</v>
      </c>
      <c r="P43">
        <f t="shared" ca="1" si="34"/>
        <v>-1.2395475054627623E-2</v>
      </c>
      <c r="Q43">
        <f t="shared" ca="1" si="34"/>
        <v>-0.17310110370471987</v>
      </c>
      <c r="R43">
        <f t="shared" ca="1" si="34"/>
        <v>-0.26253894959110757</v>
      </c>
      <c r="S43">
        <f t="shared" ca="1" si="34"/>
        <v>-0.22462081499572983</v>
      </c>
      <c r="T43">
        <f t="shared" ca="1" si="34"/>
        <v>-0.16497654162234407</v>
      </c>
      <c r="U43">
        <f t="shared" ca="1" si="34"/>
        <v>-0.11373256786873333</v>
      </c>
      <c r="V43">
        <f t="shared" ca="1" si="34"/>
        <v>-7.0249791048429613E-2</v>
      </c>
      <c r="W43">
        <f t="shared" ca="1" si="34"/>
        <v>-7.0148787708149141E-4</v>
      </c>
      <c r="X43">
        <f t="shared" ca="1" si="34"/>
        <v>0.2849443200539738</v>
      </c>
      <c r="Y43">
        <f t="shared" ca="1" si="34"/>
        <v>1.5996731902726049</v>
      </c>
      <c r="Z43">
        <f t="shared" ca="1" si="34"/>
        <v>5.7700269615826807</v>
      </c>
      <c r="AA43">
        <f t="shared" ca="1" si="34"/>
        <v>13.366007134146537</v>
      </c>
      <c r="AB43">
        <f t="shared" ca="1" si="34"/>
        <v>21.420819436854121</v>
      </c>
      <c r="AC43">
        <f t="shared" ca="1" si="34"/>
        <v>27.464555998300717</v>
      </c>
      <c r="AD43">
        <f t="shared" ca="1" si="34"/>
        <v>31.539140163224467</v>
      </c>
      <c r="AE43">
        <f t="shared" ca="1" si="34"/>
        <v>34.444219921276002</v>
      </c>
      <c r="AF43">
        <f t="shared" ca="1" si="34"/>
        <v>36.750667917014852</v>
      </c>
      <c r="AG43">
        <f t="shared" ca="1" si="34"/>
        <v>38.747101572199206</v>
      </c>
      <c r="AH43">
        <f t="shared" ca="1" si="34"/>
        <v>40.562885795749949</v>
      </c>
      <c r="AI43">
        <f t="shared" ca="1" si="34"/>
        <v>42.249508763081813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0.3999999999984355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5.2930418188376503E-9</v>
      </c>
      <c r="L46">
        <f t="shared" ca="1" si="35"/>
        <v>6.6474134556545063E-8</v>
      </c>
      <c r="M46">
        <f t="shared" ca="1" si="35"/>
        <v>3.9797272061708169E-7</v>
      </c>
      <c r="N46">
        <f t="shared" ca="1" si="35"/>
        <v>1.6949200113985302E-6</v>
      </c>
      <c r="O46">
        <f t="shared" ca="1" si="35"/>
        <v>6.0848392099044575E-6</v>
      </c>
      <c r="P46">
        <f t="shared" ca="1" si="35"/>
        <v>2.7348341741533475E-5</v>
      </c>
      <c r="Q46">
        <f t="shared" ca="1" si="35"/>
        <v>2.9310500543010243E-4</v>
      </c>
      <c r="R46">
        <f t="shared" ca="1" si="35"/>
        <v>1.0147542111785058E-3</v>
      </c>
      <c r="S46">
        <f t="shared" ca="1" si="35"/>
        <v>2.7631333891177854E-3</v>
      </c>
      <c r="T46">
        <f t="shared" ca="1" si="35"/>
        <v>7.2371460604441114E-3</v>
      </c>
      <c r="U46">
        <f t="shared" ca="1" si="35"/>
        <v>1.8452102792449365E-2</v>
      </c>
      <c r="V46">
        <f t="shared" ca="1" si="35"/>
        <v>4.5756391034872917E-2</v>
      </c>
      <c r="W46">
        <f t="shared" ca="1" si="35"/>
        <v>0.10919737103001319</v>
      </c>
      <c r="X46">
        <f t="shared" ca="1" si="35"/>
        <v>0.24366592518494426</v>
      </c>
      <c r="Y46">
        <f t="shared" ca="1" si="35"/>
        <v>0.47920854945933061</v>
      </c>
      <c r="Z46">
        <f t="shared" ca="1" si="35"/>
        <v>0.76395403237521475</v>
      </c>
      <c r="AA46">
        <f t="shared" ca="1" si="35"/>
        <v>0.93808844709813977</v>
      </c>
      <c r="AB46">
        <f t="shared" ca="1" si="35"/>
        <v>0.92003952613017326</v>
      </c>
      <c r="AC46">
        <f t="shared" ca="1" si="35"/>
        <v>0.7844200736657041</v>
      </c>
      <c r="AD46">
        <f t="shared" ca="1" si="35"/>
        <v>0.62282413841256101</v>
      </c>
      <c r="AE46">
        <f t="shared" ca="1" si="35"/>
        <v>0.4781099928226113</v>
      </c>
      <c r="AF46">
        <f t="shared" ca="1" si="35"/>
        <v>0.36096340841147545</v>
      </c>
      <c r="AG46">
        <f t="shared" ca="1" si="35"/>
        <v>0.27000445213843055</v>
      </c>
      <c r="AH46">
        <f t="shared" ca="1" si="35"/>
        <v>0.20074621291382017</v>
      </c>
      <c r="AI46">
        <f t="shared" ca="1" si="35"/>
        <v>0.51361114157345711</v>
      </c>
    </row>
    <row r="47" spans="1:35" ht="19" thickTop="1">
      <c r="A47" s="1" t="s">
        <v>41</v>
      </c>
      <c r="B47" s="11">
        <f ca="1">MAX(0,Ro*(reck-1/spr)/(reck-1))</f>
        <v>20157.703453374143</v>
      </c>
      <c r="F47" t="s">
        <v>84</v>
      </c>
      <c r="G47" s="31">
        <f ca="1">G39/G53</f>
        <v>1.0000000000000002</v>
      </c>
      <c r="H47" s="31">
        <f ca="1">H53/H39</f>
        <v>0.31777655857000708</v>
      </c>
      <c r="I47" s="31">
        <f ca="1">I53/I39</f>
        <v>0.54258405708247326</v>
      </c>
      <c r="J47" s="8" t="s">
        <v>76</v>
      </c>
      <c r="K47">
        <f t="shared" ref="K47:AI47" ca="1" si="36">lz*qa2_</f>
        <v>4.5724663092529006E-4</v>
      </c>
      <c r="L47">
        <f t="shared" ca="1" si="36"/>
        <v>2.4116311154617775E-2</v>
      </c>
      <c r="M47">
        <f t="shared" ca="1" si="36"/>
        <v>0.32197507983298757</v>
      </c>
      <c r="N47">
        <f t="shared" ca="1" si="36"/>
        <v>0.71586431909600179</v>
      </c>
      <c r="O47">
        <f t="shared" ca="1" si="36"/>
        <v>0.80015036786424598</v>
      </c>
      <c r="P47">
        <f t="shared" ca="1" si="36"/>
        <v>0.76970759199680172</v>
      </c>
      <c r="Q47">
        <f t="shared" ca="1" si="36"/>
        <v>0.68633029050832062</v>
      </c>
      <c r="R47">
        <f t="shared" ca="1" si="36"/>
        <v>0.57729716738329162</v>
      </c>
      <c r="S47">
        <f t="shared" ca="1" si="36"/>
        <v>0.46537432540208029</v>
      </c>
      <c r="T47">
        <f t="shared" ca="1" si="36"/>
        <v>0.36399799776833597</v>
      </c>
      <c r="U47">
        <f t="shared" ca="1" si="36"/>
        <v>0.27808059826355525</v>
      </c>
      <c r="V47">
        <f t="shared" ca="1" si="36"/>
        <v>0.20822164930148784</v>
      </c>
      <c r="W47">
        <f t="shared" ca="1" si="36"/>
        <v>0.15294503423021005</v>
      </c>
      <c r="X47">
        <f t="shared" ca="1" si="36"/>
        <v>0.10990472941764214</v>
      </c>
      <c r="Y47">
        <f t="shared" ca="1" si="36"/>
        <v>7.6665236049989025E-2</v>
      </c>
      <c r="Z47">
        <f t="shared" ca="1" si="36"/>
        <v>6.7292665471200705E-2</v>
      </c>
      <c r="AA47">
        <f t="shared" ca="1" si="36"/>
        <v>5.6250271924676659E-2</v>
      </c>
      <c r="AB47">
        <f t="shared" ca="1" si="36"/>
        <v>4.504811673303602E-2</v>
      </c>
      <c r="AC47">
        <f t="shared" ca="1" si="36"/>
        <v>3.5033120672387917E-2</v>
      </c>
      <c r="AD47">
        <f t="shared" ca="1" si="36"/>
        <v>2.6768173692312998E-2</v>
      </c>
      <c r="AE47">
        <f t="shared" ca="1" si="36"/>
        <v>2.0234026875935378E-2</v>
      </c>
      <c r="AF47">
        <f t="shared" ca="1" si="36"/>
        <v>1.5183490202839522E-2</v>
      </c>
      <c r="AG47">
        <f t="shared" ca="1" si="36"/>
        <v>1.1330327282305831E-2</v>
      </c>
      <c r="AH47">
        <f t="shared" ca="1" si="36"/>
        <v>8.4161820744774098E-3</v>
      </c>
      <c r="AI47">
        <f t="shared" ca="1" si="36"/>
        <v>2.1525172850318838E-2</v>
      </c>
    </row>
    <row r="48" spans="1:35">
      <c r="A48" s="1" t="s">
        <v>43</v>
      </c>
      <c r="B48" s="1">
        <f ca="1">f1_*re*phi_q1</f>
        <v>24268.781425534129</v>
      </c>
      <c r="C48" s="20">
        <f ca="1">ye_1/SUM(ye_1,ye_2,ye_3)</f>
        <v>0.60367371601208464</v>
      </c>
      <c r="F48" t="s">
        <v>85</v>
      </c>
      <c r="G48" s="31">
        <f ca="1">G40/G54</f>
        <v>3.1468652203296399</v>
      </c>
      <c r="H48" s="31">
        <f t="shared" ref="H48:I49" ca="1" si="37">H40/H54</f>
        <v>1</v>
      </c>
      <c r="I48" s="31">
        <f ca="1">I54/I40</f>
        <v>0.41642567137878594</v>
      </c>
      <c r="J48" s="8" t="s">
        <v>77</v>
      </c>
      <c r="K48">
        <f t="shared" ref="K48:AI48" ca="1" si="38">lz*qa3_</f>
        <v>1.0701091014366099E-6</v>
      </c>
      <c r="L48">
        <f t="shared" ca="1" si="38"/>
        <v>1.8827663315715788E-5</v>
      </c>
      <c r="M48">
        <f t="shared" ca="1" si="38"/>
        <v>1.5755030574139304E-4</v>
      </c>
      <c r="N48">
        <f t="shared" ca="1" si="38"/>
        <v>9.2978558392288653E-4</v>
      </c>
      <c r="O48">
        <f t="shared" ca="1" si="38"/>
        <v>4.6167329135479414E-3</v>
      </c>
      <c r="P48">
        <f t="shared" ca="1" si="38"/>
        <v>5.3055491553174544E-2</v>
      </c>
      <c r="Q48">
        <f t="shared" ca="1" si="38"/>
        <v>0.97184164555941888</v>
      </c>
      <c r="R48">
        <f t="shared" ca="1" si="38"/>
        <v>1.9340912472353993</v>
      </c>
      <c r="S48">
        <f t="shared" ca="1" si="38"/>
        <v>2.1696069000712748</v>
      </c>
      <c r="T48">
        <f t="shared" ca="1" si="38"/>
        <v>2.0903324293890582</v>
      </c>
      <c r="U48">
        <f t="shared" ca="1" si="38"/>
        <v>1.9038883307407644</v>
      </c>
      <c r="V48">
        <f t="shared" ca="1" si="38"/>
        <v>1.6854009968956698</v>
      </c>
      <c r="W48">
        <f t="shared" ca="1" si="38"/>
        <v>1.460489063962882</v>
      </c>
      <c r="X48">
        <f t="shared" ca="1" si="38"/>
        <v>1.237466819295439</v>
      </c>
      <c r="Y48">
        <f t="shared" ca="1" si="38"/>
        <v>1.0176815443021421</v>
      </c>
      <c r="Z48">
        <f t="shared" ca="1" si="38"/>
        <v>0.89326671703306881</v>
      </c>
      <c r="AA48">
        <f t="shared" ca="1" si="38"/>
        <v>0.74668606723384068</v>
      </c>
      <c r="AB48">
        <f t="shared" ca="1" si="38"/>
        <v>0.59798468467359311</v>
      </c>
      <c r="AC48">
        <f t="shared" ca="1" si="38"/>
        <v>0.46504207362450484</v>
      </c>
      <c r="AD48">
        <f t="shared" ca="1" si="38"/>
        <v>0.35533023499175631</v>
      </c>
      <c r="AE48">
        <f t="shared" ca="1" si="38"/>
        <v>0.26859365182318401</v>
      </c>
      <c r="AF48">
        <f t="shared" ca="1" si="38"/>
        <v>0.20155103608429289</v>
      </c>
      <c r="AG48">
        <f t="shared" ca="1" si="38"/>
        <v>0.15040278436744398</v>
      </c>
      <c r="AH48">
        <f t="shared" ca="1" si="38"/>
        <v>0.11171938693435227</v>
      </c>
      <c r="AI48">
        <f t="shared" ca="1" si="38"/>
        <v>0.28573278158824833</v>
      </c>
    </row>
    <row r="49" spans="1:47">
      <c r="A49" s="1" t="s">
        <v>44</v>
      </c>
      <c r="B49" s="1">
        <f ca="1">f2_*re*phi_q2</f>
        <v>9050.8747639368357</v>
      </c>
      <c r="C49" s="20">
        <f ca="1">ye_2/SUM(ye_1,ye_2,ye_3)</f>
        <v>0.22513595166163136</v>
      </c>
      <c r="F49" t="s">
        <v>86</v>
      </c>
      <c r="G49" s="31">
        <f ca="1">G41/G55</f>
        <v>1.8430324056646565</v>
      </c>
      <c r="H49" s="31">
        <f t="shared" ca="1" si="37"/>
        <v>2.4013889362031851</v>
      </c>
      <c r="I49" s="31">
        <f t="shared" ca="1" si="37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6882.1627432060786</v>
      </c>
      <c r="C50" s="20">
        <f ca="1">ye_3/SUM(ye_1,ye_2,ye_3)</f>
        <v>0.171190332326284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40201.818932677044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1084.0919169608694</v>
      </c>
      <c r="H52" s="59">
        <f ca="1">H40^0.5</f>
        <v>342.56621040453848</v>
      </c>
      <c r="I52" s="11">
        <f ca="1">I41^0.5</f>
        <v>574.13039487509252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1.2039457511451703</v>
      </c>
      <c r="C53">
        <f ca="1">AVERAGE(B53:B55)/B53</f>
        <v>0.55217466736063847</v>
      </c>
      <c r="G53">
        <f ca="1">G$52*$J53</f>
        <v>1175255.2844198926</v>
      </c>
      <c r="H53">
        <f t="shared" ref="H53:I53" ca="1" si="39">H$52*$J53</f>
        <v>371373.25972347666</v>
      </c>
      <c r="I53">
        <f t="shared" ca="1" si="39"/>
        <v>622410.12036563992</v>
      </c>
      <c r="J53">
        <f t="array" aca="1" ref="J53:J55" ca="1">TRANSPOSE(G52:I52)</f>
        <v>1084.0919169608694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0.44900326988498462</v>
      </c>
      <c r="C54">
        <f ca="1">AVERAGE(B53:B55)/B54</f>
        <v>1.4805868670602971</v>
      </c>
      <c r="G54">
        <f t="shared" ref="G54:I55" ca="1" si="40">G$52*$J54</f>
        <v>371373.25972347666</v>
      </c>
      <c r="H54">
        <f t="shared" ca="1" si="40"/>
        <v>117351.60851092653</v>
      </c>
      <c r="I54">
        <f ca="1">I$52*$J54</f>
        <v>196677.6736504217</v>
      </c>
      <c r="J54">
        <f ca="1"/>
        <v>342.56621040453848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0.34141601294636037</v>
      </c>
      <c r="C55">
        <f ca="1">AVERAGE(B53:B55)/B55</f>
        <v>1.9471504541390179</v>
      </c>
      <c r="G55">
        <f t="shared" ca="1" si="40"/>
        <v>622410.12036563992</v>
      </c>
      <c r="H55">
        <f t="shared" ca="1" si="40"/>
        <v>196677.6736504217</v>
      </c>
      <c r="I55">
        <f t="shared" ca="1" si="40"/>
        <v>329625.71031942964</v>
      </c>
      <c r="J55">
        <f ca="1"/>
        <v>574.13039487509252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3.5498461721418205E-2</v>
      </c>
      <c r="C56">
        <f ca="1">AVERAGE(B56:B58)/B56</f>
        <v>1.7601662135314671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0.12857196439318194</v>
      </c>
      <c r="C57">
        <f ca="1">AVERAGE(B56:B58)/B57</f>
        <v>0.48597836432911995</v>
      </c>
      <c r="G57">
        <f t="array" aca="1" ref="G57:I59" ca="1">MMULT($G$52:$I$52,TRANSPOSE($G$52:$I$52))</f>
        <v>1622232.6032502488</v>
      </c>
      <c r="H57">
        <f ca="1"/>
        <v>1622232.6032502488</v>
      </c>
      <c r="I57">
        <f ca="1"/>
        <v>1622232.6032502488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2.3379152748541073E-2</v>
      </c>
      <c r="C58">
        <f ca="1">AVERAGE(B56:B58)/B58</f>
        <v>2.6726029649761172</v>
      </c>
      <c r="G58">
        <f ca="1"/>
        <v>1622232.6032502488</v>
      </c>
      <c r="H58">
        <f ca="1"/>
        <v>1622232.6032502488</v>
      </c>
      <c r="I58">
        <f ca="1"/>
        <v>1622232.6032502488</v>
      </c>
      <c r="AL58" s="31"/>
      <c r="AM58" s="31"/>
      <c r="AN58" s="31"/>
      <c r="AO58" s="31"/>
      <c r="AP58" s="31"/>
    </row>
    <row r="59" spans="1:47">
      <c r="G59">
        <f ca="1"/>
        <v>1622232.6032502488</v>
      </c>
      <c r="H59">
        <f ca="1"/>
        <v>1622232.6032502488</v>
      </c>
      <c r="I59">
        <f ca="1"/>
        <v>1622232.6032502488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33.915434437508672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3.4922331007707221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14.603438226291829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26" sqref="C26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0.66809126427893861</v>
      </c>
      <c r="E4" s="49">
        <v>24977</v>
      </c>
      <c r="F4" s="49">
        <f ca="1">ye_1</f>
        <v>29595.659045532288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0.14059652307787143</v>
      </c>
      <c r="E5" s="49">
        <v>9315</v>
      </c>
      <c r="F5" s="49">
        <f ca="1">ye_2</f>
        <v>6228.2609913945716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0.1913122126431899</v>
      </c>
      <c r="E6" s="49">
        <v>7083</v>
      </c>
      <c r="F6" s="49">
        <f ca="1">ye_3</f>
        <v>8474.9065275462744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0.39999999999741148</v>
      </c>
      <c r="J7" t="s">
        <v>7</v>
      </c>
      <c r="K7" s="1">
        <f>1</f>
        <v>1</v>
      </c>
      <c r="L7" s="1">
        <f ca="1">K7*EXP(-K8)</f>
        <v>0.86029360768008578</v>
      </c>
      <c r="M7" s="1">
        <f t="shared" ref="M7:AH7" ca="1" si="4">L7*EXP(-L8)</f>
        <v>0.7366457743974183</v>
      </c>
      <c r="N7" s="1">
        <f t="shared" ca="1" si="4"/>
        <v>0.61563516231054605</v>
      </c>
      <c r="O7" s="1">
        <f t="shared" ca="1" si="4"/>
        <v>0.50944725620420794</v>
      </c>
      <c r="P7" s="1">
        <f t="shared" ca="1" si="4"/>
        <v>0.42483730910022788</v>
      </c>
      <c r="Q7" s="1">
        <f t="shared" ca="1" si="4"/>
        <v>0.35668968143685792</v>
      </c>
      <c r="R7" s="1">
        <f t="shared" ca="1" si="4"/>
        <v>0.29801622048444382</v>
      </c>
      <c r="S7" s="1">
        <f t="shared" ca="1" si="4"/>
        <v>0.2478055224405056</v>
      </c>
      <c r="T7" s="1">
        <f t="shared" ca="1" si="4"/>
        <v>0.20644780792042042</v>
      </c>
      <c r="U7" s="1">
        <f t="shared" ca="1" si="4"/>
        <v>0.17257489879324409</v>
      </c>
      <c r="V7" s="1">
        <f t="shared" ca="1" si="4"/>
        <v>0.14463094389880851</v>
      </c>
      <c r="W7" s="1">
        <f t="shared" ca="1" si="4"/>
        <v>0.12124105715501049</v>
      </c>
      <c r="X7" s="1">
        <f t="shared" ca="1" si="4"/>
        <v>0.1011597907922117</v>
      </c>
      <c r="Y7" s="1">
        <f t="shared" ca="1" si="4"/>
        <v>8.3167488524649807E-2</v>
      </c>
      <c r="Z7" s="1">
        <f t="shared" ca="1" si="4"/>
        <v>6.6216847358694306E-2</v>
      </c>
      <c r="AA7" s="1">
        <f t="shared" ca="1" si="4"/>
        <v>5.0047288019637884E-2</v>
      </c>
      <c r="AB7" s="1">
        <f t="shared" ca="1" si="4"/>
        <v>3.5826546145200297E-2</v>
      </c>
      <c r="AC7" s="1">
        <f t="shared" ca="1" si="4"/>
        <v>2.4684937355198184E-2</v>
      </c>
      <c r="AD7" s="1">
        <f t="shared" ca="1" si="4"/>
        <v>1.6670304832328561E-2</v>
      </c>
      <c r="AE7" s="1">
        <f t="shared" ca="1" si="4"/>
        <v>1.1157628921231177E-2</v>
      </c>
      <c r="AF7" s="1">
        <f t="shared" ca="1" si="4"/>
        <v>7.4404298722829994E-3</v>
      </c>
      <c r="AG7" s="1">
        <f t="shared" ca="1" si="4"/>
        <v>4.9543239424194351E-3</v>
      </c>
      <c r="AH7" s="1">
        <f t="shared" ca="1" si="4"/>
        <v>3.2970005045824739E-3</v>
      </c>
      <c r="AI7" s="1">
        <f ca="1">AH7*EXP(-AH8)/(1-EXP(-AI8))</f>
        <v>6.5533299034017693E-3</v>
      </c>
    </row>
    <row r="8" spans="1:35">
      <c r="A8" s="5"/>
      <c r="B8" s="26"/>
      <c r="C8" s="26"/>
      <c r="E8" t="s">
        <v>111</v>
      </c>
      <c r="F8">
        <f ca="1">SUMXMY2(E4:E6,F4:F6)</f>
        <v>32797372.867549572</v>
      </c>
      <c r="J8" t="s">
        <v>11</v>
      </c>
      <c r="K8" s="1">
        <f ca="1">M+f1_*flt1_ +f2_*flt2_ +f3_*flt3_</f>
        <v>0.15048154372059405</v>
      </c>
      <c r="L8" s="1">
        <f t="shared" ref="L8:AI8" ca="1" si="5">M+f1_*flt1_ +f2_*flt2_ +f3_*flt3_</f>
        <v>0.15516659036651304</v>
      </c>
      <c r="M8" s="1">
        <f t="shared" ca="1" si="5"/>
        <v>0.17945262579844992</v>
      </c>
      <c r="N8" s="1">
        <f t="shared" ca="1" si="5"/>
        <v>0.18932819249075389</v>
      </c>
      <c r="O8" s="1">
        <f t="shared" ca="1" si="5"/>
        <v>0.1816200330859542</v>
      </c>
      <c r="P8" s="1">
        <f t="shared" ca="1" si="5"/>
        <v>0.17484012942077276</v>
      </c>
      <c r="Q8" s="1">
        <f t="shared" ca="1" si="5"/>
        <v>0.17971824791916441</v>
      </c>
      <c r="R8" s="1">
        <f t="shared" ca="1" si="5"/>
        <v>0.18450366135547239</v>
      </c>
      <c r="S8" s="1">
        <f t="shared" ca="1" si="5"/>
        <v>0.18259662051715045</v>
      </c>
      <c r="T8" s="1">
        <f t="shared" ca="1" si="5"/>
        <v>0.17921629616879708</v>
      </c>
      <c r="U8" s="1">
        <f t="shared" ca="1" si="5"/>
        <v>0.17664605477389692</v>
      </c>
      <c r="V8" s="1">
        <f t="shared" ca="1" si="5"/>
        <v>0.17640451168968382</v>
      </c>
      <c r="W8" s="1">
        <f t="shared" ca="1" si="5"/>
        <v>0.1810794179633694</v>
      </c>
      <c r="X8" s="1">
        <f t="shared" ca="1" si="5"/>
        <v>0.19584484517701048</v>
      </c>
      <c r="Y8" s="1">
        <f t="shared" ca="1" si="5"/>
        <v>0.22792158614596547</v>
      </c>
      <c r="Z8" s="1">
        <f t="shared" ca="1" si="5"/>
        <v>0.27996660351726232</v>
      </c>
      <c r="AA8" s="1">
        <f t="shared" ca="1" si="5"/>
        <v>0.33427918781342625</v>
      </c>
      <c r="AB8" s="1">
        <f t="shared" ca="1" si="5"/>
        <v>0.37249589711824255</v>
      </c>
      <c r="AC8" s="1">
        <f t="shared" ca="1" si="5"/>
        <v>0.39256425106168957</v>
      </c>
      <c r="AD8" s="1">
        <f t="shared" ca="1" si="5"/>
        <v>0.40150551075337609</v>
      </c>
      <c r="AE8" s="1">
        <f t="shared" ca="1" si="5"/>
        <v>0.40519484641604508</v>
      </c>
      <c r="AF8" s="1">
        <f t="shared" ca="1" si="5"/>
        <v>0.40666790670666186</v>
      </c>
      <c r="AG8" s="1">
        <f t="shared" ca="1" si="5"/>
        <v>0.40724760186939246</v>
      </c>
      <c r="AH8" s="1">
        <f t="shared" ca="1" si="5"/>
        <v>0.40747370831696766</v>
      </c>
      <c r="AI8" s="1">
        <f t="shared" ca="1" si="5"/>
        <v>0.40756087092716275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0.86029360768008578</v>
      </c>
      <c r="L10" s="1">
        <f t="shared" ca="1" si="6"/>
        <v>0.85627251884841626</v>
      </c>
      <c r="M10" s="1">
        <f t="shared" ca="1" si="6"/>
        <v>0.83572754193036702</v>
      </c>
      <c r="N10" s="1">
        <f t="shared" ca="1" si="6"/>
        <v>0.82751487795498346</v>
      </c>
      <c r="O10" s="1">
        <f t="shared" ca="1" si="6"/>
        <v>0.83391814152775645</v>
      </c>
      <c r="P10" s="1">
        <f t="shared" ca="1" si="6"/>
        <v>0.83959123597759977</v>
      </c>
      <c r="Q10" s="1">
        <f t="shared" ca="1" si="6"/>
        <v>0.83550558368815442</v>
      </c>
      <c r="R10" s="1">
        <f t="shared" ca="1" si="6"/>
        <v>0.83151689541489515</v>
      </c>
      <c r="S10" s="1">
        <f t="shared" ca="1" si="6"/>
        <v>0.83310414508613484</v>
      </c>
      <c r="T10" s="1">
        <f t="shared" ca="1" si="6"/>
        <v>0.83592507245108005</v>
      </c>
      <c r="U10" s="1">
        <f t="shared" ca="1" si="6"/>
        <v>0.83807636516180584</v>
      </c>
      <c r="V10" s="1">
        <f t="shared" ca="1" si="6"/>
        <v>0.83827882116179209</v>
      </c>
      <c r="W10" s="1">
        <f t="shared" ca="1" si="6"/>
        <v>0.83436909217044963</v>
      </c>
      <c r="X10" s="1">
        <f t="shared" ca="1" si="6"/>
        <v>0.82213978373562313</v>
      </c>
      <c r="Y10" s="1">
        <f t="shared" ca="1" si="6"/>
        <v>0.79618668945459936</v>
      </c>
      <c r="Z10" s="1">
        <f t="shared" ca="1" si="6"/>
        <v>0.75580898239587735</v>
      </c>
      <c r="AA10" s="1">
        <f t="shared" ca="1" si="6"/>
        <v>0.71585389664156107</v>
      </c>
      <c r="AB10" s="1">
        <f t="shared" ca="1" si="6"/>
        <v>0.6890124784888102</v>
      </c>
      <c r="AC10" s="1">
        <f t="shared" ca="1" si="6"/>
        <v>0.67532295474179549</v>
      </c>
      <c r="AD10" s="1">
        <f t="shared" ca="1" si="6"/>
        <v>0.66931163127822924</v>
      </c>
      <c r="AE10" s="1">
        <f t="shared" ca="1" si="6"/>
        <v>0.66684686547740046</v>
      </c>
      <c r="AF10" s="1">
        <f t="shared" ca="1" si="6"/>
        <v>0.66586528298253622</v>
      </c>
      <c r="AG10" s="1">
        <f t="shared" ca="1" si="6"/>
        <v>0.66547939595818795</v>
      </c>
      <c r="AH10" s="1">
        <f t="shared" ca="1" si="6"/>
        <v>0.66532894378577745</v>
      </c>
      <c r="AI10" s="1">
        <f t="shared" ca="1" si="6"/>
        <v>0.66527095450568396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0.27765604524292214</v>
      </c>
      <c r="J11" t="s">
        <v>56</v>
      </c>
      <c r="K11" s="1">
        <f ca="1">1-sa</f>
        <v>0.13970639231991422</v>
      </c>
      <c r="L11" s="1">
        <f t="shared" ref="L11:AI11" ca="1" si="7">1-sa</f>
        <v>0.14372748115158374</v>
      </c>
      <c r="M11" s="1">
        <f t="shared" ca="1" si="7"/>
        <v>0.16427245806963298</v>
      </c>
      <c r="N11" s="1">
        <f t="shared" ca="1" si="7"/>
        <v>0.17248512204501654</v>
      </c>
      <c r="O11" s="1">
        <f t="shared" ca="1" si="7"/>
        <v>0.16608185847224355</v>
      </c>
      <c r="P11" s="1">
        <f t="shared" ca="1" si="7"/>
        <v>0.16040876402240023</v>
      </c>
      <c r="Q11" s="1">
        <f t="shared" ca="1" si="7"/>
        <v>0.16449441631184558</v>
      </c>
      <c r="R11" s="1">
        <f t="shared" ca="1" si="7"/>
        <v>0.16848310458510485</v>
      </c>
      <c r="S11" s="1">
        <f t="shared" ca="1" si="7"/>
        <v>0.16689585491386516</v>
      </c>
      <c r="T11" s="1">
        <f t="shared" ca="1" si="7"/>
        <v>0.16407492754891995</v>
      </c>
      <c r="U11" s="1">
        <f t="shared" ca="1" si="7"/>
        <v>0.16192363483819416</v>
      </c>
      <c r="V11" s="1">
        <f t="shared" ca="1" si="7"/>
        <v>0.16172117883820791</v>
      </c>
      <c r="W11" s="1">
        <f t="shared" ca="1" si="7"/>
        <v>0.16563090782955037</v>
      </c>
      <c r="X11" s="1">
        <f t="shared" ca="1" si="7"/>
        <v>0.17786021626437687</v>
      </c>
      <c r="Y11" s="1">
        <f t="shared" ca="1" si="7"/>
        <v>0.20381331054540064</v>
      </c>
      <c r="Z11" s="1">
        <f t="shared" ca="1" si="7"/>
        <v>0.24419101760412265</v>
      </c>
      <c r="AA11" s="1">
        <f t="shared" ca="1" si="7"/>
        <v>0.28414610335843893</v>
      </c>
      <c r="AB11" s="1">
        <f t="shared" ca="1" si="7"/>
        <v>0.3109875215111898</v>
      </c>
      <c r="AC11" s="1">
        <f t="shared" ca="1" si="7"/>
        <v>0.32467704525820451</v>
      </c>
      <c r="AD11" s="1">
        <f t="shared" ca="1" si="7"/>
        <v>0.33068836872177076</v>
      </c>
      <c r="AE11" s="1">
        <f t="shared" ca="1" si="7"/>
        <v>0.33315313452259954</v>
      </c>
      <c r="AF11" s="1">
        <f t="shared" ca="1" si="7"/>
        <v>0.33413471701746378</v>
      </c>
      <c r="AG11" s="1">
        <f t="shared" ca="1" si="7"/>
        <v>0.33452060404181205</v>
      </c>
      <c r="AH11" s="1">
        <f t="shared" ca="1" si="7"/>
        <v>0.33467105621422255</v>
      </c>
      <c r="AI11" s="1">
        <f t="shared" ca="1" si="7"/>
        <v>0.33472904549431604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0.53959687512124954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0.18274707963582812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0.39999999999741148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6.7005418842360737E-24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P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v>0.1</v>
      </c>
      <c r="J19" s="8" t="s">
        <v>104</v>
      </c>
      <c r="K19" s="4">
        <f t="shared" si="12"/>
        <v>9.6213510225466176E-3</v>
      </c>
      <c r="L19" s="4">
        <f t="shared" si="12"/>
        <v>0.10330388675722919</v>
      </c>
      <c r="M19" s="4">
        <f t="shared" si="12"/>
        <v>0.58897214032810585</v>
      </c>
      <c r="N19" s="4">
        <f t="shared" si="12"/>
        <v>0.78617614100554356</v>
      </c>
      <c r="O19" s="4">
        <f t="shared" si="12"/>
        <v>0.63084986166996349</v>
      </c>
      <c r="P19" s="4">
        <f t="shared" ref="P19:Y19" si="14">((EXP(g*(ah-age)/gh)/(1+EXP((ah-age)/gh))) *(1/(1-g))*((1-g)/g)^g) *(sr_2+(1-sr_2)*dmr)</f>
        <v>0.48233532705520743</v>
      </c>
      <c r="Q19" s="4">
        <f t="shared" si="14"/>
        <v>0.36773482838724292</v>
      </c>
      <c r="R19" s="4">
        <f t="shared" si="14"/>
        <v>0.28030259284732501</v>
      </c>
      <c r="S19" s="4">
        <f t="shared" si="14"/>
        <v>0.21365511084308417</v>
      </c>
      <c r="T19" s="4">
        <f t="shared" si="14"/>
        <v>0.16285423164763396</v>
      </c>
      <c r="U19" s="4">
        <f t="shared" si="14"/>
        <v>0.12413229436421871</v>
      </c>
      <c r="V19" s="4">
        <f t="shared" si="14"/>
        <v>9.4617292314831319E-2</v>
      </c>
      <c r="W19" s="4">
        <f t="shared" si="14"/>
        <v>7.2120088075360356E-2</v>
      </c>
      <c r="X19" s="4">
        <f t="shared" si="14"/>
        <v>5.4972056129009919E-2</v>
      </c>
      <c r="Y19" s="4">
        <f t="shared" si="14"/>
        <v>4.1901320917669717E-2</v>
      </c>
      <c r="Z19" s="4">
        <f>Y19</f>
        <v>4.1901320917669717E-2</v>
      </c>
      <c r="AA19" s="4">
        <f t="shared" ref="AA19:AI20" si="15">Z19</f>
        <v>4.1901320917669717E-2</v>
      </c>
      <c r="AB19" s="4">
        <f t="shared" si="15"/>
        <v>4.1901320917669717E-2</v>
      </c>
      <c r="AC19" s="4">
        <f t="shared" si="15"/>
        <v>4.1901320917669717E-2</v>
      </c>
      <c r="AD19" s="4">
        <f t="shared" si="15"/>
        <v>4.1901320917669717E-2</v>
      </c>
      <c r="AE19" s="4">
        <f t="shared" si="15"/>
        <v>4.1901320917669717E-2</v>
      </c>
      <c r="AF19" s="4">
        <f t="shared" si="15"/>
        <v>4.1901320917669717E-2</v>
      </c>
      <c r="AG19" s="4">
        <f t="shared" si="15"/>
        <v>4.1901320917669717E-2</v>
      </c>
      <c r="AH19" s="4">
        <f t="shared" si="15"/>
        <v>4.1901320917669717E-2</v>
      </c>
      <c r="AI19" s="4">
        <f t="shared" si="15"/>
        <v>4.1901320917669717E-2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5.2937032055822298E-9</v>
      </c>
      <c r="L22" s="1">
        <f t="shared" ca="1" si="17"/>
        <v>7.7392606887542216E-8</v>
      </c>
      <c r="M22" s="1">
        <f t="shared" ca="1" si="17"/>
        <v>5.4601328203974358E-7</v>
      </c>
      <c r="N22" s="1">
        <f t="shared" ca="1" si="17"/>
        <v>2.83365018431619E-6</v>
      </c>
      <c r="O22" s="1">
        <f t="shared" ca="1" si="17"/>
        <v>1.2528612506366083E-5</v>
      </c>
      <c r="P22" s="1">
        <f t="shared" ca="1" si="17"/>
        <v>6.8534339183730207E-5</v>
      </c>
      <c r="Q22" s="1">
        <f t="shared" ca="1" si="17"/>
        <v>8.8405135287472473E-4</v>
      </c>
      <c r="R22" s="1">
        <f t="shared" ca="1" si="17"/>
        <v>3.6861417811586191E-3</v>
      </c>
      <c r="S22" s="1">
        <f t="shared" ca="1" si="17"/>
        <v>1.2111147624514561E-2</v>
      </c>
      <c r="T22" s="1">
        <f t="shared" ca="1" si="17"/>
        <v>3.8139395349172912E-2</v>
      </c>
      <c r="U22" s="1">
        <f t="shared" ca="1" si="17"/>
        <v>0.11638438802708338</v>
      </c>
      <c r="V22" s="1">
        <f t="shared" ca="1" si="17"/>
        <v>0.34411776481949202</v>
      </c>
      <c r="W22" s="1">
        <f t="shared" ca="1" si="17"/>
        <v>0.97718796595118473</v>
      </c>
      <c r="X22" s="1">
        <f t="shared" ca="1" si="17"/>
        <v>2.5975492807042126</v>
      </c>
      <c r="Y22" s="1">
        <f t="shared" ca="1" si="17"/>
        <v>6.1332537072298647</v>
      </c>
      <c r="Z22" s="1">
        <f t="shared" ca="1" si="17"/>
        <v>11.983682915658635</v>
      </c>
      <c r="AA22" s="1">
        <f t="shared" ca="1" si="17"/>
        <v>18.731878872696043</v>
      </c>
      <c r="AB22" s="1">
        <f t="shared" ca="1" si="17"/>
        <v>24.384664805215284</v>
      </c>
      <c r="AC22" s="1">
        <f t="shared" ca="1" si="17"/>
        <v>28.441600998462267</v>
      </c>
      <c r="AD22" s="1">
        <f t="shared" ca="1" si="17"/>
        <v>31.393062287755299</v>
      </c>
      <c r="AE22" s="1">
        <f t="shared" ca="1" si="17"/>
        <v>33.742495931079176</v>
      </c>
      <c r="AF22" s="1">
        <f t="shared" ca="1" si="17"/>
        <v>35.775244561848289</v>
      </c>
      <c r="AG22" s="1">
        <f t="shared" ca="1" si="17"/>
        <v>37.624906507798947</v>
      </c>
      <c r="AH22" s="1">
        <f t="shared" ca="1" si="17"/>
        <v>39.349544745838202</v>
      </c>
      <c r="AI22" s="1">
        <f t="shared" ca="1" si="17"/>
        <v>40.973852032853166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4.5730376572056437E-4</v>
      </c>
      <c r="L23" s="1">
        <f t="shared" ca="1" si="18"/>
        <v>2.8077449991911391E-2</v>
      </c>
      <c r="M23" s="1">
        <f t="shared" ca="1" si="18"/>
        <v>0.44174552919613413</v>
      </c>
      <c r="N23" s="1">
        <f t="shared" ca="1" si="18"/>
        <v>1.1968169861172298</v>
      </c>
      <c r="O23" s="1">
        <f t="shared" ca="1" si="18"/>
        <v>1.6475002148749989</v>
      </c>
      <c r="P23" s="1">
        <f t="shared" ca="1" si="18"/>
        <v>1.9288701918657234</v>
      </c>
      <c r="Q23" s="1">
        <f t="shared" ca="1" si="18"/>
        <v>2.0700814063288915</v>
      </c>
      <c r="R23" s="1">
        <f t="shared" ca="1" si="18"/>
        <v>2.0970587610222151</v>
      </c>
      <c r="S23" s="1">
        <f t="shared" ca="1" si="18"/>
        <v>2.0397919180452617</v>
      </c>
      <c r="T23" s="1">
        <f t="shared" ca="1" si="18"/>
        <v>1.9182511209870492</v>
      </c>
      <c r="U23" s="1">
        <f t="shared" ca="1" si="18"/>
        <v>1.7539594600758788</v>
      </c>
      <c r="V23" s="1">
        <f t="shared" ca="1" si="18"/>
        <v>1.5659619765476365</v>
      </c>
      <c r="W23" s="1">
        <f t="shared" ca="1" si="18"/>
        <v>1.3686780688215916</v>
      </c>
      <c r="X23" s="1">
        <f t="shared" ca="1" si="18"/>
        <v>1.171616222613415</v>
      </c>
      <c r="Y23" s="1">
        <f t="shared" ca="1" si="18"/>
        <v>0.98121651575240398</v>
      </c>
      <c r="Z23" s="1">
        <f t="shared" ca="1" si="18"/>
        <v>1.0555791728058983</v>
      </c>
      <c r="AA23" s="1">
        <f t="shared" ca="1" si="18"/>
        <v>1.1232131506455127</v>
      </c>
      <c r="AB23" s="1">
        <f t="shared" ca="1" si="18"/>
        <v>1.1939522112290994</v>
      </c>
      <c r="AC23" s="1">
        <f t="shared" ca="1" si="18"/>
        <v>1.2702352646825197</v>
      </c>
      <c r="AD23" s="1">
        <f t="shared" ca="1" si="18"/>
        <v>1.3492331016489825</v>
      </c>
      <c r="AE23" s="1">
        <f t="shared" ca="1" si="18"/>
        <v>1.4280115031687055</v>
      </c>
      <c r="AF23" s="1">
        <f t="shared" ca="1" si="18"/>
        <v>1.5048424927598358</v>
      </c>
      <c r="AG23" s="1">
        <f t="shared" ca="1" si="18"/>
        <v>1.5788721308971472</v>
      </c>
      <c r="AH23" s="1">
        <f t="shared" ca="1" si="18"/>
        <v>1.6497094930051897</v>
      </c>
      <c r="AI23" s="1">
        <f t="shared" ca="1" si="18"/>
        <v>1.7171925917506843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1.0702428158486943E-6</v>
      </c>
      <c r="L24" s="1">
        <f t="shared" ca="1" si="19"/>
        <v>2.1920134129233629E-5</v>
      </c>
      <c r="M24" s="1">
        <f t="shared" ca="1" si="19"/>
        <v>2.1615692500439877E-4</v>
      </c>
      <c r="N24" s="1">
        <f t="shared" ca="1" si="19"/>
        <v>1.5544610208971827E-3</v>
      </c>
      <c r="O24" s="1">
        <f t="shared" ca="1" si="19"/>
        <v>9.5057988755198122E-3</v>
      </c>
      <c r="P24" s="1">
        <f t="shared" ca="1" si="19"/>
        <v>0.1329558877108325</v>
      </c>
      <c r="Q24" s="1">
        <f t="shared" ca="1" si="19"/>
        <v>2.9312291009021649</v>
      </c>
      <c r="R24" s="1">
        <f t="shared" ca="1" si="19"/>
        <v>7.0256762440313416</v>
      </c>
      <c r="S24" s="1">
        <f t="shared" ca="1" si="19"/>
        <v>9.5096492834600976</v>
      </c>
      <c r="T24" s="1">
        <f t="shared" ca="1" si="19"/>
        <v>11.015946654913034</v>
      </c>
      <c r="U24" s="1">
        <f t="shared" ca="1" si="19"/>
        <v>12.0085434564044</v>
      </c>
      <c r="V24" s="1">
        <f t="shared" ca="1" si="19"/>
        <v>12.675309629080152</v>
      </c>
      <c r="W24" s="1">
        <f t="shared" ca="1" si="19"/>
        <v>13.069658401534006</v>
      </c>
      <c r="X24" s="1">
        <f t="shared" ca="1" si="19"/>
        <v>13.191754423259869</v>
      </c>
      <c r="Y24" s="1">
        <f t="shared" ca="1" si="19"/>
        <v>13.025016167622125</v>
      </c>
      <c r="Z24" s="1">
        <f t="shared" ca="1" si="19"/>
        <v>14.012132461365299</v>
      </c>
      <c r="AA24" s="1">
        <f t="shared" ca="1" si="19"/>
        <v>14.909929879874982</v>
      </c>
      <c r="AB24" s="1">
        <f t="shared" ca="1" si="19"/>
        <v>15.848945268417541</v>
      </c>
      <c r="AC24" s="1">
        <f t="shared" ca="1" si="19"/>
        <v>16.861553585333702</v>
      </c>
      <c r="AD24" s="1">
        <f t="shared" ca="1" si="19"/>
        <v>17.910198901812446</v>
      </c>
      <c r="AE24" s="1">
        <f t="shared" ca="1" si="19"/>
        <v>18.955931354315052</v>
      </c>
      <c r="AF24" s="1">
        <f t="shared" ca="1" si="19"/>
        <v>19.975813169931982</v>
      </c>
      <c r="AG24" s="1">
        <f t="shared" ca="1" si="19"/>
        <v>20.958508852425979</v>
      </c>
      <c r="AH24" s="1">
        <f t="shared" ca="1" si="19"/>
        <v>21.898829130281737</v>
      </c>
      <c r="AI24" s="1">
        <f t="shared" ca="1" si="19"/>
        <v>22.794623726163877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1.0340080282947887E-7</v>
      </c>
      <c r="L26">
        <f t="shared" ref="L26:AI26" ca="1" si="20">qa1_/wa</f>
        <v>2.6375461824442108E-7</v>
      </c>
      <c r="M26">
        <f t="shared" ca="1" si="20"/>
        <v>6.6640881775860344E-7</v>
      </c>
      <c r="N26">
        <f t="shared" ca="1" si="20"/>
        <v>1.69580027822396E-6</v>
      </c>
      <c r="O26">
        <f t="shared" ca="1" si="20"/>
        <v>4.3869426309805068E-6</v>
      </c>
      <c r="P26">
        <f t="shared" ca="1" si="20"/>
        <v>1.5723212091520204E-5</v>
      </c>
      <c r="Q26">
        <f t="shared" ca="1" si="20"/>
        <v>1.4374204437205102E-4</v>
      </c>
      <c r="R26">
        <f t="shared" ca="1" si="20"/>
        <v>4.4992478568986097E-4</v>
      </c>
      <c r="S26">
        <f t="shared" ca="1" si="20"/>
        <v>1.1594860616576542E-3</v>
      </c>
      <c r="T26">
        <f t="shared" ca="1" si="20"/>
        <v>2.9643679856064848E-3</v>
      </c>
      <c r="U26">
        <f t="shared" ca="1" si="20"/>
        <v>7.5503356871104814E-3</v>
      </c>
      <c r="V26">
        <f t="shared" ca="1" si="20"/>
        <v>1.9061347824167456E-2</v>
      </c>
      <c r="W26">
        <f t="shared" ca="1" si="20"/>
        <v>4.7098312013769836E-2</v>
      </c>
      <c r="X26">
        <f t="shared" ca="1" si="20"/>
        <v>0.1106845673000367</v>
      </c>
      <c r="Y26">
        <f t="shared" ca="1" si="20"/>
        <v>0.23420754363491367</v>
      </c>
      <c r="Z26">
        <f t="shared" ca="1" si="20"/>
        <v>0.41490690893782345</v>
      </c>
      <c r="AA26">
        <f t="shared" ca="1" si="20"/>
        <v>0.59399014797124849</v>
      </c>
      <c r="AB26">
        <f t="shared" ca="1" si="20"/>
        <v>0.7144618266424414</v>
      </c>
      <c r="AC26">
        <f t="shared" ca="1" si="20"/>
        <v>0.77595837528303047</v>
      </c>
      <c r="AD26">
        <f t="shared" ca="1" si="20"/>
        <v>0.80297461837987028</v>
      </c>
      <c r="AE26">
        <f t="shared" ca="1" si="20"/>
        <v>0.81405397847948335</v>
      </c>
      <c r="AF26">
        <f t="shared" ca="1" si="20"/>
        <v>0.81846663662780961</v>
      </c>
      <c r="AG26">
        <f t="shared" ca="1" si="20"/>
        <v>0.82020142845266997</v>
      </c>
      <c r="AH26">
        <f t="shared" ca="1" si="20"/>
        <v>0.82087780889090989</v>
      </c>
      <c r="AI26">
        <f t="shared" ca="1" si="20"/>
        <v>0.8211385097045002</v>
      </c>
      <c r="AM26" s="44"/>
    </row>
    <row r="27" spans="1:39">
      <c r="A27" t="s">
        <v>14</v>
      </c>
      <c r="B27" s="28">
        <f ca="1">fbar*C27</f>
        <v>0.24344849234505722</v>
      </c>
      <c r="C27" s="36">
        <f ca="1">CHOOSE(C$25,E36,E39,1)</f>
        <v>2.3175604958976477</v>
      </c>
      <c r="E27" s="42">
        <f ca="1">f1_/(F4/(365*re*phib))</f>
        <v>2132.2631750529076</v>
      </c>
      <c r="J27" s="8" t="s">
        <v>31</v>
      </c>
      <c r="K27">
        <f t="shared" ref="K27:AI27" ca="1" si="21">qa2_/wa</f>
        <v>8.932419267968679E-3</v>
      </c>
      <c r="L27">
        <f t="shared" ca="1" si="21"/>
        <v>9.5688172316695477E-2</v>
      </c>
      <c r="M27">
        <f t="shared" ca="1" si="21"/>
        <v>0.53915010045546219</v>
      </c>
      <c r="N27">
        <f t="shared" ca="1" si="21"/>
        <v>0.71623610750334343</v>
      </c>
      <c r="O27">
        <f t="shared" ca="1" si="21"/>
        <v>0.57687863867704592</v>
      </c>
      <c r="P27">
        <f t="shared" ca="1" si="21"/>
        <v>0.44252320055806127</v>
      </c>
      <c r="Q27">
        <f t="shared" ca="1" si="21"/>
        <v>0.33658421809400357</v>
      </c>
      <c r="R27">
        <f t="shared" ca="1" si="21"/>
        <v>0.25596376093146395</v>
      </c>
      <c r="S27">
        <f t="shared" ca="1" si="21"/>
        <v>0.19528374774890181</v>
      </c>
      <c r="T27">
        <f t="shared" ca="1" si="21"/>
        <v>0.14909523759744331</v>
      </c>
      <c r="U27">
        <f t="shared" ca="1" si="21"/>
        <v>0.11378659053544375</v>
      </c>
      <c r="V27">
        <f t="shared" ca="1" si="21"/>
        <v>8.6741659298097615E-2</v>
      </c>
      <c r="W27">
        <f t="shared" ca="1" si="21"/>
        <v>6.5967274442452026E-2</v>
      </c>
      <c r="X27">
        <f t="shared" ca="1" si="21"/>
        <v>4.9923916980128387E-2</v>
      </c>
      <c r="Y27">
        <f t="shared" ca="1" si="21"/>
        <v>3.746923262891956E-2</v>
      </c>
      <c r="Z27">
        <f t="shared" ca="1" si="21"/>
        <v>3.6546952619696274E-2</v>
      </c>
      <c r="AA27">
        <f t="shared" ca="1" si="21"/>
        <v>3.5617225057315079E-2</v>
      </c>
      <c r="AB27">
        <f t="shared" ca="1" si="21"/>
        <v>3.4982366359043879E-2</v>
      </c>
      <c r="AC27">
        <f t="shared" ca="1" si="21"/>
        <v>3.4655211296422753E-2</v>
      </c>
      <c r="AD27">
        <f t="shared" ca="1" si="21"/>
        <v>3.45108076737278E-2</v>
      </c>
      <c r="AE27">
        <f t="shared" ca="1" si="21"/>
        <v>3.4451465826457396E-2</v>
      </c>
      <c r="AF27">
        <f t="shared" ca="1" si="21"/>
        <v>3.4427811431853403E-2</v>
      </c>
      <c r="AG27">
        <f t="shared" ca="1" si="21"/>
        <v>3.4418508836361439E-2</v>
      </c>
      <c r="AH27">
        <f t="shared" ca="1" si="21"/>
        <v>3.441488135813469E-2</v>
      </c>
      <c r="AI27">
        <f t="shared" ca="1" si="21"/>
        <v>3.4413483129073955E-2</v>
      </c>
    </row>
    <row r="28" spans="1:39">
      <c r="A28" t="s">
        <v>15</v>
      </c>
      <c r="B28" s="28">
        <f ca="1">fbar*C28</f>
        <v>4.9995908507157703E-2</v>
      </c>
      <c r="C28" s="36">
        <f ca="1">CHOOSE(C$25,E37,E40,1)</f>
        <v>0.47594684771542117</v>
      </c>
      <c r="E28" s="42">
        <f ca="1">f2_/(F5/(365*re*phib))</f>
        <v>2080.795472096208</v>
      </c>
      <c r="J28" s="8" t="s">
        <v>32</v>
      </c>
      <c r="K28">
        <f t="shared" ref="K28:AI28" ca="1" si="22">qa3_/wa</f>
        <v>2.0904830150761293E-5</v>
      </c>
      <c r="L28">
        <f t="shared" ca="1" si="22"/>
        <v>7.4703991009419891E-5</v>
      </c>
      <c r="M28">
        <f t="shared" ca="1" si="22"/>
        <v>2.6381937139769313E-4</v>
      </c>
      <c r="N28">
        <f t="shared" ca="1" si="22"/>
        <v>9.3026847361607913E-4</v>
      </c>
      <c r="O28">
        <f t="shared" ca="1" si="22"/>
        <v>3.3284926249698417E-3</v>
      </c>
      <c r="P28">
        <f t="shared" ca="1" si="22"/>
        <v>3.050286391015556E-2</v>
      </c>
      <c r="Q28">
        <f t="shared" ca="1" si="22"/>
        <v>0.47660224953723096</v>
      </c>
      <c r="R28">
        <f t="shared" ca="1" si="22"/>
        <v>0.85754321621036045</v>
      </c>
      <c r="S28">
        <f t="shared" ca="1" si="22"/>
        <v>0.91042617407337878</v>
      </c>
      <c r="T28">
        <f t="shared" ca="1" si="22"/>
        <v>0.85620968282291354</v>
      </c>
      <c r="U28">
        <f t="shared" ca="1" si="22"/>
        <v>0.77904378539162877</v>
      </c>
      <c r="V28">
        <f t="shared" ca="1" si="22"/>
        <v>0.70210988887961712</v>
      </c>
      <c r="W28">
        <f t="shared" ca="1" si="22"/>
        <v>0.62992880669550433</v>
      </c>
      <c r="X28">
        <f t="shared" ca="1" si="22"/>
        <v>0.56211585324418356</v>
      </c>
      <c r="Y28">
        <f t="shared" ca="1" si="22"/>
        <v>0.4973798880727574</v>
      </c>
      <c r="Z28">
        <f t="shared" ca="1" si="22"/>
        <v>0.48513721600358978</v>
      </c>
      <c r="AA28">
        <f t="shared" ca="1" si="22"/>
        <v>0.47279568247139764</v>
      </c>
      <c r="AB28">
        <f t="shared" ca="1" si="22"/>
        <v>0.46436834286144718</v>
      </c>
      <c r="AC28">
        <f t="shared" ca="1" si="22"/>
        <v>0.46002557048496295</v>
      </c>
      <c r="AD28">
        <f t="shared" ca="1" si="22"/>
        <v>0.4581087055626244</v>
      </c>
      <c r="AE28">
        <f t="shared" ca="1" si="22"/>
        <v>0.45732098082735451</v>
      </c>
      <c r="AF28">
        <f t="shared" ca="1" si="22"/>
        <v>0.45700698400075596</v>
      </c>
      <c r="AG28">
        <f t="shared" ca="1" si="22"/>
        <v>0.45688349804761658</v>
      </c>
      <c r="AH28">
        <f t="shared" ca="1" si="22"/>
        <v>0.45683534561459849</v>
      </c>
      <c r="AI28">
        <f t="shared" ca="1" si="22"/>
        <v>0.45681678502595191</v>
      </c>
    </row>
    <row r="29" spans="1:39">
      <c r="A29" t="s">
        <v>19</v>
      </c>
      <c r="B29" s="28">
        <f ca="1">fbar*C29</f>
        <v>2.1691052279631359E-2</v>
      </c>
      <c r="C29" s="36">
        <f ca="1">CHOOSE(C$25,E38,E41,1)</f>
        <v>0.20649265638693079</v>
      </c>
      <c r="E29" s="42">
        <f ca="1">f3_/(F6/(365*re*phib))</f>
        <v>663.44883649105986</v>
      </c>
    </row>
    <row r="30" spans="1:39">
      <c r="A30" t="s">
        <v>95</v>
      </c>
      <c r="B30" s="28">
        <v>0.10504515104394878</v>
      </c>
      <c r="C30" s="36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0.31513545313184627</v>
      </c>
      <c r="G31">
        <f ca="1">SUMPRODUCT(dlz1_,wa,ma)</f>
        <v>-18.578700033364193</v>
      </c>
      <c r="H31">
        <f ca="1">Ro/(reck-1)*phie/phif^2*dphif</f>
        <v>-5750.729215268495</v>
      </c>
      <c r="J31" s="8" t="s">
        <v>52</v>
      </c>
      <c r="K31">
        <v>0</v>
      </c>
      <c r="L31">
        <f t="shared" ref="L31:AH31" ca="1" si="23">K31*sa-K$7*K18*K$10</f>
        <v>-9.5815896315075368E-8</v>
      </c>
      <c r="M31">
        <f t="shared" ca="1" si="23"/>
        <v>-2.8983332842967774E-7</v>
      </c>
      <c r="N31">
        <f t="shared" ca="1" si="23"/>
        <v>-6.8801802840974561E-7</v>
      </c>
      <c r="O31">
        <f t="shared" ca="1" si="23"/>
        <v>-1.5220328709129508E-6</v>
      </c>
      <c r="P31">
        <f t="shared" ca="1" si="23"/>
        <v>-3.3159886032044529E-6</v>
      </c>
      <c r="Q31">
        <f t="shared" ca="1" si="23"/>
        <v>-8.8833925667043442E-6</v>
      </c>
      <c r="R31">
        <f t="shared" ca="1" si="23"/>
        <v>-5.4188725817400496E-5</v>
      </c>
      <c r="S31">
        <f t="shared" ca="1" si="23"/>
        <v>-1.6724031657942278E-4</v>
      </c>
      <c r="T31">
        <f t="shared" ca="1" si="23"/>
        <v>-4.0169283251560717E-4</v>
      </c>
      <c r="U31">
        <f t="shared" ca="1" si="23"/>
        <v>-8.9543462763111642E-4</v>
      </c>
      <c r="V31">
        <f t="shared" ca="1" si="23"/>
        <v>-1.9419239870963616E-3</v>
      </c>
      <c r="W31">
        <f t="shared" ca="1" si="23"/>
        <v>-4.141126167734141E-3</v>
      </c>
      <c r="X31">
        <f t="shared" ca="1" si="23"/>
        <v>-8.6134240345692691E-3</v>
      </c>
      <c r="Y31">
        <f t="shared" ca="1" si="23"/>
        <v>-1.6994065941458802E-2</v>
      </c>
      <c r="Z31">
        <f t="shared" ca="1" si="23"/>
        <v>-3.0187190621457576E-2</v>
      </c>
      <c r="AA31">
        <f t="shared" ca="1" si="23"/>
        <v>-4.5416787277580098E-2</v>
      </c>
      <c r="AB31">
        <f t="shared" ca="1" si="23"/>
        <v>-5.6327976527523423E-2</v>
      </c>
      <c r="AC31">
        <f t="shared" ca="1" si="23"/>
        <v>-5.9164228814646301E-2</v>
      </c>
      <c r="AD31">
        <f t="shared" ca="1" si="23"/>
        <v>-5.5239464260287738E-2</v>
      </c>
      <c r="AE31">
        <f t="shared" ca="1" si="23"/>
        <v>-4.7714195149803032E-2</v>
      </c>
      <c r="AF31">
        <f t="shared" ca="1" si="23"/>
        <v>-3.9137896474012425E-2</v>
      </c>
      <c r="AG31">
        <f t="shared" ca="1" si="23"/>
        <v>-3.0980651454451932E-2</v>
      </c>
      <c r="AH31">
        <f t="shared" ca="1" si="23"/>
        <v>-2.3904440630883109E-2</v>
      </c>
      <c r="AI31">
        <f ca="1">(AH31*sa-AH$7*AH18*AH$10)/oa-AH$7*AH$10*flt1_*sa/oa^2</f>
        <v>-6.7081718650600919E-2</v>
      </c>
    </row>
    <row r="32" spans="1:39">
      <c r="A32" s="12" t="s">
        <v>22</v>
      </c>
      <c r="B32" s="12"/>
      <c r="C32" s="12"/>
      <c r="G32">
        <f ca="1">SUMPRODUCT(dlz2_,wa,ma)</f>
        <v>-62.017136226954662</v>
      </c>
      <c r="H32">
        <f ca="1">Ro/(reck-1)*phie/phif^2*dphif</f>
        <v>-19196.378460665313</v>
      </c>
      <c r="J32" s="8" t="s">
        <v>53</v>
      </c>
      <c r="K32">
        <v>0</v>
      </c>
      <c r="L32">
        <f t="shared" ref="L32:AH32" ca="1" si="24">K32*sa-K$7*K19*K$10</f>
        <v>-8.2771867819431116E-3</v>
      </c>
      <c r="M32">
        <f t="shared" ca="1" si="24"/>
        <v>-8.3015844621914137E-2</v>
      </c>
      <c r="N32">
        <f t="shared" ca="1" si="24"/>
        <v>-0.43128880573791634</v>
      </c>
      <c r="O32">
        <f t="shared" ca="1" si="24"/>
        <v>-0.76017483727117541</v>
      </c>
      <c r="P32">
        <f t="shared" ca="1" si="24"/>
        <v>-0.90624468886169518</v>
      </c>
      <c r="Q32">
        <f t="shared" ca="1" si="24"/>
        <v>-0.92921653188474507</v>
      </c>
      <c r="R32">
        <f t="shared" ca="1" si="24"/>
        <v>-0.88225018945746092</v>
      </c>
      <c r="S32">
        <f t="shared" ca="1" si="24"/>
        <v>-0.80446682030199812</v>
      </c>
      <c r="T32">
        <f t="shared" ca="1" si="24"/>
        <v>-0.71658261432998693</v>
      </c>
      <c r="U32">
        <f t="shared" ca="1" si="24"/>
        <v>-0.62865550530046155</v>
      </c>
      <c r="V32">
        <f t="shared" ca="1" si="24"/>
        <v>-0.5449419668023634</v>
      </c>
      <c r="W32">
        <f t="shared" ca="1" si="24"/>
        <v>-0.46615423467186207</v>
      </c>
      <c r="X32">
        <f t="shared" ca="1" si="24"/>
        <v>-0.39053959470218891</v>
      </c>
      <c r="Y32">
        <f t="shared" ca="1" si="24"/>
        <v>-0.31551431485416265</v>
      </c>
      <c r="Z32">
        <f t="shared" ca="1" si="24"/>
        <v>-0.24124312661259012</v>
      </c>
      <c r="AA32">
        <f t="shared" ca="1" si="24"/>
        <v>-0.17479187969998602</v>
      </c>
      <c r="AB32">
        <f t="shared" ca="1" si="24"/>
        <v>-0.12193496585920707</v>
      </c>
      <c r="AC32">
        <f t="shared" ca="1" si="24"/>
        <v>-8.3379812912332402E-2</v>
      </c>
      <c r="AD32">
        <f t="shared" ca="1" si="24"/>
        <v>-5.6505586388601536E-2</v>
      </c>
      <c r="AE32">
        <f t="shared" ca="1" si="24"/>
        <v>-3.8148092555310174E-2</v>
      </c>
      <c r="AF32">
        <f t="shared" ca="1" si="24"/>
        <v>-2.571325428442954E-2</v>
      </c>
      <c r="AG32">
        <f t="shared" ca="1" si="24"/>
        <v>-1.7319233646762869E-2</v>
      </c>
      <c r="AH32">
        <f t="shared" ca="1" si="24"/>
        <v>-1.1661136105588067E-2</v>
      </c>
      <c r="AI32">
        <f ca="1">(AH32*sa-AH$7*AH19*AH$10)/oa-AH$7*AH$10*flt2_*sa/oa^2</f>
        <v>-2.3996747324646087E-2</v>
      </c>
    </row>
    <row r="33" spans="1:35">
      <c r="A33" s="61" t="s">
        <v>130</v>
      </c>
      <c r="B33" s="62">
        <f ca="1">SUMPRODUCT(lz*wa)</f>
        <v>35.231230867222472</v>
      </c>
      <c r="C33" s="60"/>
      <c r="G33">
        <f ca="1">SUMPRODUCT(dlz3_,wa,ma)</f>
        <v>-98.936875847390738</v>
      </c>
      <c r="H33">
        <f ca="1">Ro/(reck-1)*phie/phif^2*dphif</f>
        <v>-30624.273032086618</v>
      </c>
      <c r="J33" s="8" t="s">
        <v>54</v>
      </c>
      <c r="K33">
        <v>0</v>
      </c>
      <c r="L33">
        <f t="shared" ref="L33:AH33" ca="1" si="25">K33*sa-K$7*K20*K$10</f>
        <v>-1.9371368339497644E-5</v>
      </c>
      <c r="M33">
        <f t="shared" ca="1" si="25"/>
        <v>-7.5599371595527114E-5</v>
      </c>
      <c r="N33">
        <f t="shared" ca="1" si="25"/>
        <v>-2.3998474605323248E-4</v>
      </c>
      <c r="O33">
        <f t="shared" ca="1" si="25"/>
        <v>-7.2032862909429272E-4</v>
      </c>
      <c r="P33">
        <f t="shared" ca="1" si="25"/>
        <v>-2.1511458613292789E-3</v>
      </c>
      <c r="Q33">
        <f t="shared" ca="1" si="25"/>
        <v>-1.3656188451608613E-2</v>
      </c>
      <c r="R33">
        <f t="shared" ca="1" si="25"/>
        <v>-0.16653580103205767</v>
      </c>
      <c r="S33">
        <f t="shared" ca="1" si="25"/>
        <v>-0.37145197824260873</v>
      </c>
      <c r="T33">
        <f t="shared" ca="1" si="25"/>
        <v>-0.51614346511444542</v>
      </c>
      <c r="U33">
        <f t="shared" ca="1" si="25"/>
        <v>-0.59396374010644604</v>
      </c>
      <c r="V33">
        <f t="shared" ca="1" si="25"/>
        <v>-0.62082559203894672</v>
      </c>
      <c r="W33">
        <f t="shared" ca="1" si="25"/>
        <v>-0.61085103934737373</v>
      </c>
      <c r="X33">
        <f t="shared" ca="1" si="25"/>
        <v>-0.57187193976763839</v>
      </c>
      <c r="Y33">
        <f t="shared" ca="1" si="25"/>
        <v>-0.50679376970568513</v>
      </c>
      <c r="Z33">
        <f t="shared" ca="1" si="25"/>
        <v>-0.41986995472091743</v>
      </c>
      <c r="AA33">
        <f t="shared" ca="1" si="25"/>
        <v>-0.3284024954075343</v>
      </c>
      <c r="AB33">
        <f t="shared" ca="1" si="25"/>
        <v>-0.2462006080327451</v>
      </c>
      <c r="AC33">
        <f t="shared" ca="1" si="25"/>
        <v>-0.17999500515015845</v>
      </c>
      <c r="AD33">
        <f t="shared" ca="1" si="25"/>
        <v>-0.12974499078954432</v>
      </c>
      <c r="AE33">
        <f t="shared" ca="1" si="25"/>
        <v>-9.2726058680493023E-2</v>
      </c>
      <c r="AF33">
        <f t="shared" ca="1" si="25"/>
        <v>-6.5881527127645917E-2</v>
      </c>
      <c r="AG33">
        <f t="shared" ca="1" si="25"/>
        <v>-4.6598458263325239E-2</v>
      </c>
      <c r="AH33">
        <f t="shared" ca="1" si="25"/>
        <v>-3.2837137561790367E-2</v>
      </c>
      <c r="AI33">
        <f ca="1">(AH33*sa-AH$7*AH20*AH$10)/oa-AH$7*AH$10*flt3_*sa/oa^2</f>
        <v>-7.6153060157551314E-2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17.137594381771187</v>
      </c>
      <c r="F35" s="37"/>
      <c r="G35" s="1">
        <f ca="1">SUM(dqa11_)</f>
        <v>283.79851959532908</v>
      </c>
      <c r="H35" s="1">
        <f ca="1">SUM(dqa12_)</f>
        <v>285.71190289288143</v>
      </c>
      <c r="I35" s="11">
        <f ca="1">SUM(dqa13_)</f>
        <v>284.22926021131224</v>
      </c>
      <c r="J35" s="8" t="s">
        <v>62</v>
      </c>
      <c r="K35">
        <f ca="1">flt1_*qa1_+lz*wa*flt1_^2/za*(sa-oa/za)</f>
        <v>3.0218598940274909E-16</v>
      </c>
      <c r="L35">
        <f t="shared" ref="L35:AI35" ca="1" si="26">flt1_*qa1_+lz*wa*flt1_^2/za*(sa-oa/za)</f>
        <v>1.280305920087413E-14</v>
      </c>
      <c r="M35">
        <f t="shared" ca="1" si="26"/>
        <v>2.5546341584497295E-13</v>
      </c>
      <c r="N35">
        <f t="shared" ca="1" si="26"/>
        <v>3.702145325236875E-12</v>
      </c>
      <c r="O35">
        <f t="shared" ca="1" si="26"/>
        <v>4.5257591700554653E-11</v>
      </c>
      <c r="P35">
        <f t="shared" ca="1" si="26"/>
        <v>9.3230101847344001E-10</v>
      </c>
      <c r="Q35">
        <f t="shared" ca="1" si="26"/>
        <v>1.1481663617322657E-7</v>
      </c>
      <c r="R35">
        <f t="shared" ca="1" si="26"/>
        <v>1.5538777071705403E-6</v>
      </c>
      <c r="S35">
        <f t="shared" ca="1" si="26"/>
        <v>1.3518063324721211E-5</v>
      </c>
      <c r="T35">
        <f t="shared" ca="1" si="26"/>
        <v>1.1112583121521682E-4</v>
      </c>
      <c r="U35">
        <f t="shared" ca="1" si="26"/>
        <v>8.783537133018964E-4</v>
      </c>
      <c r="V35">
        <f t="shared" ca="1" si="26"/>
        <v>6.6526931829395224E-3</v>
      </c>
      <c r="W35">
        <f t="shared" ca="1" si="26"/>
        <v>4.7358372290624173E-2</v>
      </c>
      <c r="X35">
        <f t="shared" ca="1" si="26"/>
        <v>0.30109024678635998</v>
      </c>
      <c r="Y35">
        <f t="shared" ca="1" si="26"/>
        <v>1.5421033561754578</v>
      </c>
      <c r="Z35">
        <f t="shared" ca="1" si="26"/>
        <v>5.5206185996734627</v>
      </c>
      <c r="AA35">
        <f t="shared" ca="1" si="26"/>
        <v>12.780319614488663</v>
      </c>
      <c r="AB35">
        <f t="shared" ca="1" si="26"/>
        <v>20.517033665394138</v>
      </c>
      <c r="AC35">
        <f t="shared" ca="1" si="26"/>
        <v>26.376188936296796</v>
      </c>
      <c r="AD35">
        <f t="shared" ca="1" si="26"/>
        <v>30.368025707170528</v>
      </c>
      <c r="AE35">
        <f t="shared" ca="1" si="26"/>
        <v>33.23417054090821</v>
      </c>
      <c r="AF35">
        <f t="shared" ca="1" si="26"/>
        <v>35.513445476991315</v>
      </c>
      <c r="AG35">
        <f t="shared" ca="1" si="26"/>
        <v>37.482405602555666</v>
      </c>
      <c r="AH35">
        <f t="shared" ca="1" si="26"/>
        <v>39.267359969190998</v>
      </c>
      <c r="AI35">
        <f t="shared" ca="1" si="26"/>
        <v>40.840742146940165</v>
      </c>
    </row>
    <row r="36" spans="1:35">
      <c r="A36" t="s">
        <v>33</v>
      </c>
      <c r="B36" s="1">
        <f ca="1">SUMPRODUCT(lz,ta1_)</f>
        <v>0.18420310371631221</v>
      </c>
      <c r="C36" s="29">
        <f ca="1">B11/(phi_t1/SUM(B$36:B$38))</f>
        <v>4.9562051132878366</v>
      </c>
      <c r="E36" s="38">
        <f ca="1">C36/AVERAGE(C$36:C$38)</f>
        <v>2.3175604958976477</v>
      </c>
      <c r="G36" s="1">
        <f ca="1">SUM(dqa21_)</f>
        <v>285.71190289288143</v>
      </c>
      <c r="H36" s="1">
        <f ca="1">SUM(dqa22_)</f>
        <v>5.254103893518189</v>
      </c>
      <c r="I36" s="11">
        <f ca="1">SUM(dqa23_)</f>
        <v>284.53412314880649</v>
      </c>
      <c r="J36" s="8" t="s">
        <v>63</v>
      </c>
      <c r="K36">
        <f t="shared" ref="K36:AI36" ca="1" si="27">flt2_*qa2_+lz*wa*flt2_^2/za*(sa-oa/za)</f>
        <v>2.2550942763701883E-6</v>
      </c>
      <c r="L36">
        <f t="shared" ca="1" si="27"/>
        <v>1.6851172609118484E-3</v>
      </c>
      <c r="M36">
        <f t="shared" ca="1" si="27"/>
        <v>0.16721168603854814</v>
      </c>
      <c r="N36">
        <f t="shared" ca="1" si="27"/>
        <v>0.66041431874051038</v>
      </c>
      <c r="O36">
        <f t="shared" ca="1" si="27"/>
        <v>0.78259387634544364</v>
      </c>
      <c r="P36">
        <f t="shared" ca="1" si="27"/>
        <v>0.73849184324330841</v>
      </c>
      <c r="Q36">
        <f t="shared" ca="1" si="27"/>
        <v>0.62954196000185025</v>
      </c>
      <c r="R36">
        <f t="shared" ca="1" si="27"/>
        <v>0.50291427681345835</v>
      </c>
      <c r="S36">
        <f t="shared" ca="1" si="27"/>
        <v>0.38345606768043999</v>
      </c>
      <c r="T36">
        <f t="shared" ca="1" si="27"/>
        <v>0.28111132142038475</v>
      </c>
      <c r="U36">
        <f t="shared" ca="1" si="27"/>
        <v>0.19948906245830011</v>
      </c>
      <c r="V36">
        <f t="shared" ca="1" si="27"/>
        <v>0.13776716872478739</v>
      </c>
      <c r="W36">
        <f t="shared" ca="1" si="27"/>
        <v>9.290587200342304E-2</v>
      </c>
      <c r="X36">
        <f t="shared" ca="1" si="27"/>
        <v>6.1254760908526239E-2</v>
      </c>
      <c r="Y36">
        <f t="shared" ca="1" si="27"/>
        <v>3.9469472438765904E-2</v>
      </c>
      <c r="Z36">
        <f t="shared" ca="1" si="27"/>
        <v>4.2834011737130431E-2</v>
      </c>
      <c r="AA36">
        <f t="shared" ca="1" si="27"/>
        <v>4.5951891463577831E-2</v>
      </c>
      <c r="AB36">
        <f t="shared" ca="1" si="27"/>
        <v>4.9187514674369104E-2</v>
      </c>
      <c r="AC36">
        <f t="shared" ca="1" si="27"/>
        <v>5.2610484007239673E-2</v>
      </c>
      <c r="AD36">
        <f t="shared" ca="1" si="27"/>
        <v>5.6094873101819702E-2</v>
      </c>
      <c r="AE36">
        <f t="shared" ca="1" si="27"/>
        <v>5.9524238407314196E-2</v>
      </c>
      <c r="AF36">
        <f t="shared" ca="1" si="27"/>
        <v>6.2836166037588917E-2</v>
      </c>
      <c r="AG36">
        <f t="shared" ca="1" si="27"/>
        <v>6.600403941002693E-2</v>
      </c>
      <c r="AH36">
        <f t="shared" ca="1" si="27"/>
        <v>6.9018771746057805E-2</v>
      </c>
      <c r="AI36">
        <f t="shared" ca="1" si="27"/>
        <v>7.1732843760128409E-2</v>
      </c>
    </row>
    <row r="37" spans="1:35">
      <c r="A37" t="s">
        <v>34</v>
      </c>
      <c r="B37" s="1">
        <f ca="1">SUMPRODUCT(lz,ta2_)</f>
        <v>1.7431383617901774</v>
      </c>
      <c r="C37" s="29">
        <f ca="1">B12/(phi_t2/SUM(B$36:B$38))</f>
        <v>1.0178332796386149</v>
      </c>
      <c r="E37" s="38">
        <f ca="1">C37/AVERAGE(C$36:C$38)</f>
        <v>0.47594684771542117</v>
      </c>
      <c r="G37" s="1">
        <f ca="1">SUM(dqa31_)</f>
        <v>284.22926021131224</v>
      </c>
      <c r="H37" s="1">
        <f ca="1">SUM(dqa32_)</f>
        <v>284.53412314880649</v>
      </c>
      <c r="I37" s="1">
        <f ca="1">SUM(dqa33_)</f>
        <v>167.54486025567658</v>
      </c>
      <c r="J37" s="8" t="s">
        <v>64</v>
      </c>
      <c r="K37">
        <f t="shared" ref="K37:AI37" ca="1" si="28">flt3_*qa3_+lz*wa*flt3_^2/za*(sa-oa/za)</f>
        <v>1.2351502480063305E-11</v>
      </c>
      <c r="L37">
        <f t="shared" ca="1" si="28"/>
        <v>1.0270727738603249E-9</v>
      </c>
      <c r="M37">
        <f t="shared" ca="1" si="28"/>
        <v>4.0036915136315321E-8</v>
      </c>
      <c r="N37">
        <f t="shared" ca="1" si="28"/>
        <v>1.1140909968667544E-6</v>
      </c>
      <c r="O37">
        <f t="shared" ca="1" si="28"/>
        <v>2.6053299254743032E-5</v>
      </c>
      <c r="P37">
        <f t="shared" ca="1" si="28"/>
        <v>3.5087695667913111E-3</v>
      </c>
      <c r="Q37">
        <f t="shared" ca="1" si="28"/>
        <v>1.2622615698352215</v>
      </c>
      <c r="R37">
        <f t="shared" ca="1" si="28"/>
        <v>5.6448061276836921</v>
      </c>
      <c r="S37">
        <f t="shared" ca="1" si="28"/>
        <v>8.3343720127342404</v>
      </c>
      <c r="T37">
        <f t="shared" ca="1" si="28"/>
        <v>9.2706687513506694</v>
      </c>
      <c r="U37">
        <f t="shared" ca="1" si="28"/>
        <v>9.3510559404319284</v>
      </c>
      <c r="V37">
        <f t="shared" ca="1" si="28"/>
        <v>9.0261066737943665</v>
      </c>
      <c r="W37">
        <f t="shared" ca="1" si="28"/>
        <v>8.4716698126682495</v>
      </c>
      <c r="X37">
        <f t="shared" ca="1" si="28"/>
        <v>7.7655856125947356</v>
      </c>
      <c r="Y37">
        <f t="shared" ca="1" si="28"/>
        <v>6.9548563529755372</v>
      </c>
      <c r="Z37">
        <f t="shared" ca="1" si="28"/>
        <v>7.5477167604808484</v>
      </c>
      <c r="AA37">
        <f t="shared" ca="1" si="28"/>
        <v>8.0971136559407029</v>
      </c>
      <c r="AB37">
        <f t="shared" ca="1" si="28"/>
        <v>8.6672579536208687</v>
      </c>
      <c r="AC37">
        <f t="shared" ca="1" si="28"/>
        <v>9.2704142295931167</v>
      </c>
      <c r="AD37">
        <f t="shared" ca="1" si="28"/>
        <v>9.8843931893644932</v>
      </c>
      <c r="AE37">
        <f t="shared" ca="1" si="28"/>
        <v>10.488676490049475</v>
      </c>
      <c r="AF37">
        <f t="shared" ca="1" si="28"/>
        <v>11.072266274679784</v>
      </c>
      <c r="AG37">
        <f t="shared" ca="1" si="28"/>
        <v>11.630472475279594</v>
      </c>
      <c r="AH37">
        <f t="shared" ca="1" si="28"/>
        <v>12.161693924268913</v>
      </c>
      <c r="AI37">
        <f t="shared" ca="1" si="28"/>
        <v>12.639936470296778</v>
      </c>
    </row>
    <row r="38" spans="1:35">
      <c r="A38" t="s">
        <v>35</v>
      </c>
      <c r="B38" s="1">
        <f ca="1">SUMPRODUCT(lz,ta3_)</f>
        <v>1.3607135945716535</v>
      </c>
      <c r="C38" s="29">
        <f ca="1">B13/(phi_t3/SUM(B$36:B$38))</f>
        <v>0.44159363315558203</v>
      </c>
      <c r="E38" s="38">
        <f ca="1">C38/AVERAGE(C$36:C$38)</f>
        <v>0.20649265638693079</v>
      </c>
      <c r="G38" t="s">
        <v>69</v>
      </c>
      <c r="J38" s="8" t="s">
        <v>60</v>
      </c>
      <c r="K38">
        <f t="shared" ref="K38:AI38" ca="1" si="29">flt1_*qa1_+lz*wa*flt2_*flt1_/za*(sa-oa/za)</f>
        <v>-2.4827238643270208E-11</v>
      </c>
      <c r="L38">
        <f t="shared" ca="1" si="29"/>
        <v>-3.3500824199891405E-9</v>
      </c>
      <c r="M38">
        <f t="shared" ca="1" si="29"/>
        <v>-1.1490658623023092E-7</v>
      </c>
      <c r="N38">
        <f t="shared" ca="1" si="29"/>
        <v>-6.6410937297226479E-7</v>
      </c>
      <c r="O38">
        <f t="shared" ca="1" si="29"/>
        <v>-1.9522845926003502E-6</v>
      </c>
      <c r="P38">
        <f t="shared" ca="1" si="29"/>
        <v>-6.8161377809919841E-6</v>
      </c>
      <c r="Q38">
        <f t="shared" ca="1" si="29"/>
        <v>-5.6104720952093771E-5</v>
      </c>
      <c r="R38">
        <f t="shared" ca="1" si="29"/>
        <v>-1.4741252979567885E-4</v>
      </c>
      <c r="S38">
        <f t="shared" ca="1" si="29"/>
        <v>-2.9549638227638271E-4</v>
      </c>
      <c r="T38">
        <f t="shared" ca="1" si="29"/>
        <v>-4.9850748422027187E-4</v>
      </c>
      <c r="U38">
        <f t="shared" ca="1" si="29"/>
        <v>-2.5127986269984481E-4</v>
      </c>
      <c r="V38">
        <f t="shared" ca="1" si="29"/>
        <v>4.8695335451170623E-3</v>
      </c>
      <c r="W38">
        <f t="shared" ca="1" si="29"/>
        <v>4.6173225579347651E-2</v>
      </c>
      <c r="X38">
        <f t="shared" ca="1" si="29"/>
        <v>0.30959368551874367</v>
      </c>
      <c r="Y38">
        <f t="shared" ca="1" si="29"/>
        <v>1.5960857546006284</v>
      </c>
      <c r="Z38">
        <f t="shared" ca="1" si="29"/>
        <v>5.6847098989869282</v>
      </c>
      <c r="AA38">
        <f t="shared" ca="1" si="29"/>
        <v>13.071106883403946</v>
      </c>
      <c r="AB38">
        <f t="shared" ca="1" si="29"/>
        <v>20.850519525649744</v>
      </c>
      <c r="AC38">
        <f t="shared" ca="1" si="29"/>
        <v>26.670293622311686</v>
      </c>
      <c r="AD38">
        <f t="shared" ca="1" si="29"/>
        <v>30.595874429599764</v>
      </c>
      <c r="AE38">
        <f t="shared" ca="1" si="29"/>
        <v>33.400638939448527</v>
      </c>
      <c r="AF38">
        <f t="shared" ca="1" si="29"/>
        <v>35.631862066509143</v>
      </c>
      <c r="AG38">
        <f t="shared" ca="1" si="29"/>
        <v>37.565530186693962</v>
      </c>
      <c r="AH38">
        <f t="shared" ca="1" si="29"/>
        <v>39.325267149379663</v>
      </c>
      <c r="AI38">
        <f t="shared" ca="1" si="29"/>
        <v>40.960636343447419</v>
      </c>
    </row>
    <row r="39" spans="1:35">
      <c r="A39" s="1" t="s">
        <v>36</v>
      </c>
      <c r="B39" s="1">
        <f ca="1">SUMPRODUCT(lz,qa1_)</f>
        <v>6.0308687112307906</v>
      </c>
      <c r="C39" s="23">
        <f ca="1">B4/(phi_q1/SUM(B$39:B$41))</f>
        <v>3.1624305456270205</v>
      </c>
      <c r="D39" s="21"/>
      <c r="E39" s="39">
        <f ca="1">C39/AVERAGE(C$39:C$41)</f>
        <v>2.0658642866058758</v>
      </c>
      <c r="G39" s="1">
        <f ca="1">re*phi_q1+f1_*phi_q1*$H31+f1_*re*G35</f>
        <v>1505827.4253458278</v>
      </c>
      <c r="H39" s="1">
        <f ca="1">re*phi_q1+f1_*phi_q1*$H32+f1_*re*H35</f>
        <v>1495476.1093288339</v>
      </c>
      <c r="I39" s="1">
        <f ca="1">re*phi_q1+f1_*phi_q1*$H33+f1_*re*I35</f>
        <v>1471421.7420299703</v>
      </c>
      <c r="J39" s="8" t="s">
        <v>66</v>
      </c>
      <c r="K39">
        <f t="shared" ref="K39:AI39" ca="1" si="30">flt1_*qa1_+lz*wa*flt3_*flt1_/za*(sa-oa/za)</f>
        <v>-5.751578015990687E-14</v>
      </c>
      <c r="L39">
        <f t="shared" ca="1" si="30"/>
        <v>-2.593397495123923E-12</v>
      </c>
      <c r="M39">
        <f t="shared" ca="1" si="30"/>
        <v>-5.582931364759649E-11</v>
      </c>
      <c r="N39">
        <f t="shared" ca="1" si="30"/>
        <v>-8.5729705198256449E-10</v>
      </c>
      <c r="O39">
        <f t="shared" ca="1" si="30"/>
        <v>-1.1204595785029748E-8</v>
      </c>
      <c r="P39">
        <f t="shared" ca="1" si="30"/>
        <v>-4.6873880145721149E-7</v>
      </c>
      <c r="Q39">
        <f t="shared" ca="1" si="30"/>
        <v>-7.9501873025426457E-5</v>
      </c>
      <c r="R39">
        <f t="shared" ca="1" si="30"/>
        <v>-4.9813768672726517E-4</v>
      </c>
      <c r="S39">
        <f t="shared" ca="1" si="30"/>
        <v>-1.4338875265658333E-3</v>
      </c>
      <c r="T39">
        <f t="shared" ca="1" si="30"/>
        <v>-3.4484695612283425E-3</v>
      </c>
      <c r="U39">
        <f t="shared" ca="1" si="30"/>
        <v>-7.3251066373648931E-3</v>
      </c>
      <c r="V39">
        <f t="shared" ca="1" si="30"/>
        <v>-1.1343450194041715E-2</v>
      </c>
      <c r="W39">
        <f t="shared" ca="1" si="30"/>
        <v>1.0751184872954976E-2</v>
      </c>
      <c r="X39">
        <f t="shared" ca="1" si="30"/>
        <v>0.23791254441325876</v>
      </c>
      <c r="Y39">
        <f t="shared" ca="1" si="30"/>
        <v>1.469892334949922</v>
      </c>
      <c r="Z39">
        <f t="shared" ca="1" si="30"/>
        <v>5.490160349149944</v>
      </c>
      <c r="AA39">
        <f t="shared" ca="1" si="30"/>
        <v>12.843434794656131</v>
      </c>
      <c r="AB39">
        <f t="shared" ca="1" si="30"/>
        <v>20.639778568600249</v>
      </c>
      <c r="AC39">
        <f t="shared" ca="1" si="30"/>
        <v>26.501532146566188</v>
      </c>
      <c r="AD39">
        <f t="shared" ca="1" si="30"/>
        <v>30.470278092448886</v>
      </c>
      <c r="AE39">
        <f t="shared" ca="1" si="30"/>
        <v>33.31034368024757</v>
      </c>
      <c r="AF39">
        <f t="shared" ca="1" si="30"/>
        <v>35.568038206250222</v>
      </c>
      <c r="AG39">
        <f t="shared" ca="1" si="30"/>
        <v>37.520839438569375</v>
      </c>
      <c r="AH39">
        <f t="shared" ca="1" si="30"/>
        <v>39.294164376340106</v>
      </c>
      <c r="AI39">
        <f t="shared" ca="1" si="30"/>
        <v>40.89626352858555</v>
      </c>
    </row>
    <row r="40" spans="1:35">
      <c r="A40" s="1" t="s">
        <v>37</v>
      </c>
      <c r="B40" s="1">
        <f ca="1">SUMPRODUCT(lz,qa2_)</f>
        <v>6.1800400082481692</v>
      </c>
      <c r="C40" s="23">
        <f ca="1">B5/(phi_q2/SUM(B$39:B$41))</f>
        <v>1.1509386358740326</v>
      </c>
      <c r="D40" s="21"/>
      <c r="E40" s="39">
        <f ca="1">C40/AVERAGE(C$39:C$41)</f>
        <v>0.7518530413940272</v>
      </c>
      <c r="G40" s="1">
        <f ca="1">re*phi_q1+f1_*phi_q1*$H32+f1_*re*G36</f>
        <v>1495476.1093288339</v>
      </c>
      <c r="H40" s="1">
        <f ca="1">re*phi_q2+f2_*phi_q2*$H32+f2_*re*H36</f>
        <v>123939.27994008962</v>
      </c>
      <c r="I40" s="1">
        <f ca="1">re*phi_q3+f3_*phi_q3*$H33+f3_*re*I36</f>
        <v>502244.63608159393</v>
      </c>
      <c r="J40" s="8" t="s">
        <v>65</v>
      </c>
      <c r="K40">
        <f t="shared" ref="K40:AI40" ca="1" si="31">flt1_*qa1_+lz*wa*flt1_*flt2_/za*(sa-oa/za)</f>
        <v>-2.4827238643270208E-11</v>
      </c>
      <c r="L40">
        <f t="shared" ca="1" si="31"/>
        <v>-3.3500824199891409E-9</v>
      </c>
      <c r="M40">
        <f t="shared" ca="1" si="31"/>
        <v>-1.1490658623023092E-7</v>
      </c>
      <c r="N40">
        <f t="shared" ca="1" si="31"/>
        <v>-6.64109372972265E-7</v>
      </c>
      <c r="O40">
        <f t="shared" ca="1" si="31"/>
        <v>-1.9522845926003502E-6</v>
      </c>
      <c r="P40">
        <f t="shared" ca="1" si="31"/>
        <v>-6.8161377809919841E-6</v>
      </c>
      <c r="Q40">
        <f t="shared" ca="1" si="31"/>
        <v>-5.6104720952093771E-5</v>
      </c>
      <c r="R40">
        <f t="shared" ca="1" si="31"/>
        <v>-1.4741252979567885E-4</v>
      </c>
      <c r="S40">
        <f t="shared" ca="1" si="31"/>
        <v>-2.9549638227638271E-4</v>
      </c>
      <c r="T40">
        <f t="shared" ca="1" si="31"/>
        <v>-4.9850748422027187E-4</v>
      </c>
      <c r="U40">
        <f t="shared" ca="1" si="31"/>
        <v>-2.5127986269984502E-4</v>
      </c>
      <c r="V40">
        <f t="shared" ca="1" si="31"/>
        <v>4.8695335451170623E-3</v>
      </c>
      <c r="W40">
        <f t="shared" ca="1" si="31"/>
        <v>4.6173225579347651E-2</v>
      </c>
      <c r="X40">
        <f t="shared" ca="1" si="31"/>
        <v>0.30959368551874367</v>
      </c>
      <c r="Y40">
        <f t="shared" ca="1" si="31"/>
        <v>1.5960857546006284</v>
      </c>
      <c r="Z40">
        <f t="shared" ca="1" si="31"/>
        <v>5.6847098989869282</v>
      </c>
      <c r="AA40">
        <f t="shared" ca="1" si="31"/>
        <v>13.071106883403946</v>
      </c>
      <c r="AB40">
        <f t="shared" ca="1" si="31"/>
        <v>20.850519525649744</v>
      </c>
      <c r="AC40">
        <f t="shared" ca="1" si="31"/>
        <v>26.670293622311686</v>
      </c>
      <c r="AD40">
        <f t="shared" ca="1" si="31"/>
        <v>30.595874429599764</v>
      </c>
      <c r="AE40">
        <f t="shared" ca="1" si="31"/>
        <v>33.400638939448527</v>
      </c>
      <c r="AF40">
        <f t="shared" ca="1" si="31"/>
        <v>35.631862066509143</v>
      </c>
      <c r="AG40">
        <f t="shared" ca="1" si="31"/>
        <v>37.565530186693962</v>
      </c>
      <c r="AH40">
        <f t="shared" ca="1" si="31"/>
        <v>39.325267149379663</v>
      </c>
      <c r="AI40">
        <f t="shared" ca="1" si="31"/>
        <v>40.960636343447419</v>
      </c>
    </row>
    <row r="41" spans="1:35">
      <c r="A41" s="1" t="s">
        <v>38</v>
      </c>
      <c r="B41" s="1">
        <f ca="1">SUMPRODUCT(lz,qa3_)</f>
        <v>19.382654033352104</v>
      </c>
      <c r="C41" s="23">
        <f ca="1">B6/(phi_q3/SUM(B$39:B$41))</f>
        <v>0.2790387992130452</v>
      </c>
      <c r="D41" s="21"/>
      <c r="E41" s="39">
        <f ca="1">C41/AVERAGE(C$39:C$41)</f>
        <v>0.18228267200009696</v>
      </c>
      <c r="G41" s="1">
        <f ca="1">re*phi_q1+f1_*phi_q1*$H33+f1_*re*G37</f>
        <v>1471421.7420299703</v>
      </c>
      <c r="H41" s="1">
        <f ca="1">re*phi_q3+f3_*phi_q3*$H33+f3_*re*H37</f>
        <v>502244.63608159393</v>
      </c>
      <c r="I41" s="1">
        <f ca="1">re*phi_q3+f1_*phi_q3*$H33+f3_*re*I37</f>
        <v>319461.32790588035</v>
      </c>
      <c r="J41" s="8" t="s">
        <v>67</v>
      </c>
      <c r="K41">
        <f t="shared" ref="K41:AI41" ca="1" si="32">flt1_*qa1_+lz*wa*flt3_*flt2_/za*(sa-oa/za)</f>
        <v>-5.0195110392957006E-9</v>
      </c>
      <c r="L41">
        <f t="shared" ca="1" si="32"/>
        <v>-9.4885984977123215E-7</v>
      </c>
      <c r="M41">
        <f t="shared" ca="1" si="32"/>
        <v>-4.5489626100715968E-5</v>
      </c>
      <c r="N41">
        <f t="shared" ca="1" si="32"/>
        <v>-3.6431466513836021E-4</v>
      </c>
      <c r="O41">
        <f t="shared" ca="1" si="32"/>
        <v>-1.4812969323784405E-3</v>
      </c>
      <c r="P41">
        <f t="shared" ca="1" si="32"/>
        <v>-1.3225512054836332E-2</v>
      </c>
      <c r="Q41">
        <f t="shared" ca="1" si="32"/>
        <v>-0.18648535271203584</v>
      </c>
      <c r="R41">
        <f t="shared" ca="1" si="32"/>
        <v>-0.28442366537559971</v>
      </c>
      <c r="S41">
        <f t="shared" ca="1" si="32"/>
        <v>-0.24407142215963437</v>
      </c>
      <c r="T41">
        <f t="shared" ca="1" si="32"/>
        <v>-0.17953117932659826</v>
      </c>
      <c r="U41">
        <f t="shared" ca="1" si="32"/>
        <v>-0.12388072133092408</v>
      </c>
      <c r="V41">
        <f t="shared" ca="1" si="32"/>
        <v>-7.7024745489372076E-2</v>
      </c>
      <c r="W41">
        <f t="shared" ca="1" si="32"/>
        <v>-5.099872663358776E-3</v>
      </c>
      <c r="X41">
        <f t="shared" ca="1" si="32"/>
        <v>0.28109758669296891</v>
      </c>
      <c r="Y41">
        <f t="shared" ca="1" si="32"/>
        <v>1.5845332165795256</v>
      </c>
      <c r="Z41">
        <f t="shared" ca="1" si="32"/>
        <v>5.6820269929788996</v>
      </c>
      <c r="AA41">
        <f t="shared" ca="1" si="32"/>
        <v>13.074891437043826</v>
      </c>
      <c r="AB41">
        <f t="shared" ca="1" si="32"/>
        <v>20.856529513885</v>
      </c>
      <c r="AC41">
        <f t="shared" ca="1" si="32"/>
        <v>26.675891597119129</v>
      </c>
      <c r="AD41">
        <f t="shared" ca="1" si="32"/>
        <v>30.600269104501994</v>
      </c>
      <c r="AE41">
        <f t="shared" ca="1" si="32"/>
        <v>33.403862652342532</v>
      </c>
      <c r="AF41">
        <f t="shared" ca="1" si="32"/>
        <v>35.634158443788756</v>
      </c>
      <c r="AG41">
        <f t="shared" ca="1" si="32"/>
        <v>37.567143004324564</v>
      </c>
      <c r="AH41">
        <f t="shared" ca="1" si="32"/>
        <v>39.326390910409522</v>
      </c>
      <c r="AI41">
        <f t="shared" ca="1" si="32"/>
        <v>40.96296321535511</v>
      </c>
    </row>
    <row r="42" spans="1:35">
      <c r="A42" s="1" t="s">
        <v>96</v>
      </c>
      <c r="B42" s="1">
        <f ca="1">SUMPRODUCT(lz/SUM(lz),len,ta1_)</f>
        <v>4.4541213074954555</v>
      </c>
      <c r="J42" s="8" t="s">
        <v>68</v>
      </c>
      <c r="K42">
        <f t="shared" ref="K42:AI42" ca="1" si="33">flt1_*qa1_+lz*wa*flt1_*flt3_/za*(sa-oa/za)</f>
        <v>-5.751578015990687E-14</v>
      </c>
      <c r="L42">
        <f t="shared" ca="1" si="33"/>
        <v>-2.5933974951239234E-12</v>
      </c>
      <c r="M42">
        <f t="shared" ca="1" si="33"/>
        <v>-5.582931364759649E-11</v>
      </c>
      <c r="N42">
        <f t="shared" ca="1" si="33"/>
        <v>-8.5729705198256449E-10</v>
      </c>
      <c r="O42">
        <f t="shared" ca="1" si="33"/>
        <v>-1.1204595785029748E-8</v>
      </c>
      <c r="P42">
        <f t="shared" ca="1" si="33"/>
        <v>-4.6873880145721149E-7</v>
      </c>
      <c r="Q42">
        <f t="shared" ca="1" si="33"/>
        <v>-7.950187302542647E-5</v>
      </c>
      <c r="R42">
        <f t="shared" ca="1" si="33"/>
        <v>-4.9813768672726517E-4</v>
      </c>
      <c r="S42">
        <f t="shared" ca="1" si="33"/>
        <v>-1.4338875265658333E-3</v>
      </c>
      <c r="T42">
        <f t="shared" ca="1" si="33"/>
        <v>-3.4484695612283425E-3</v>
      </c>
      <c r="U42">
        <f t="shared" ca="1" si="33"/>
        <v>-7.3251066373648931E-3</v>
      </c>
      <c r="V42">
        <f t="shared" ca="1" si="33"/>
        <v>-1.1343450194041715E-2</v>
      </c>
      <c r="W42">
        <f t="shared" ca="1" si="33"/>
        <v>1.0751184872954969E-2</v>
      </c>
      <c r="X42">
        <f t="shared" ca="1" si="33"/>
        <v>0.23791254441325876</v>
      </c>
      <c r="Y42">
        <f t="shared" ca="1" si="33"/>
        <v>1.469892334949922</v>
      </c>
      <c r="Z42">
        <f t="shared" ca="1" si="33"/>
        <v>5.490160349149944</v>
      </c>
      <c r="AA42">
        <f t="shared" ca="1" si="33"/>
        <v>12.843434794656131</v>
      </c>
      <c r="AB42">
        <f t="shared" ca="1" si="33"/>
        <v>20.639778568600249</v>
      </c>
      <c r="AC42">
        <f t="shared" ca="1" si="33"/>
        <v>26.501532146566188</v>
      </c>
      <c r="AD42">
        <f t="shared" ca="1" si="33"/>
        <v>30.470278092448886</v>
      </c>
      <c r="AE42">
        <f t="shared" ca="1" si="33"/>
        <v>33.31034368024757</v>
      </c>
      <c r="AF42">
        <f t="shared" ca="1" si="33"/>
        <v>35.568038206250222</v>
      </c>
      <c r="AG42">
        <f t="shared" ca="1" si="33"/>
        <v>37.520839438569375</v>
      </c>
      <c r="AH42">
        <f t="shared" ca="1" si="33"/>
        <v>39.294164376340106</v>
      </c>
      <c r="AI42">
        <f t="shared" ca="1" si="33"/>
        <v>40.89626352858555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-5.0195110392956998E-9</v>
      </c>
      <c r="L43">
        <f t="shared" ca="1" si="34"/>
        <v>-9.4885984977123215E-7</v>
      </c>
      <c r="M43">
        <f t="shared" ca="1" si="34"/>
        <v>-4.5489626100715968E-5</v>
      </c>
      <c r="N43">
        <f t="shared" ca="1" si="34"/>
        <v>-3.6431466513836021E-4</v>
      </c>
      <c r="O43">
        <f t="shared" ca="1" si="34"/>
        <v>-1.4812969323784403E-3</v>
      </c>
      <c r="P43">
        <f t="shared" ca="1" si="34"/>
        <v>-1.3225512054836328E-2</v>
      </c>
      <c r="Q43">
        <f t="shared" ca="1" si="34"/>
        <v>-0.18648535271203584</v>
      </c>
      <c r="R43">
        <f t="shared" ca="1" si="34"/>
        <v>-0.28442366537559971</v>
      </c>
      <c r="S43">
        <f t="shared" ca="1" si="34"/>
        <v>-0.24407142215963437</v>
      </c>
      <c r="T43">
        <f t="shared" ca="1" si="34"/>
        <v>-0.17953117932659826</v>
      </c>
      <c r="U43">
        <f t="shared" ca="1" si="34"/>
        <v>-0.12388072133092408</v>
      </c>
      <c r="V43">
        <f t="shared" ca="1" si="34"/>
        <v>-7.7024745489372076E-2</v>
      </c>
      <c r="W43">
        <f t="shared" ca="1" si="34"/>
        <v>-5.0998726633587621E-3</v>
      </c>
      <c r="X43">
        <f t="shared" ca="1" si="34"/>
        <v>0.28109758669296891</v>
      </c>
      <c r="Y43">
        <f t="shared" ca="1" si="34"/>
        <v>1.5845332165795256</v>
      </c>
      <c r="Z43">
        <f t="shared" ca="1" si="34"/>
        <v>5.6820269929788996</v>
      </c>
      <c r="AA43">
        <f t="shared" ca="1" si="34"/>
        <v>13.074891437043826</v>
      </c>
      <c r="AB43">
        <f t="shared" ca="1" si="34"/>
        <v>20.856529513885</v>
      </c>
      <c r="AC43">
        <f t="shared" ca="1" si="34"/>
        <v>26.675891597119129</v>
      </c>
      <c r="AD43">
        <f t="shared" ca="1" si="34"/>
        <v>30.600269104501994</v>
      </c>
      <c r="AE43">
        <f t="shared" ca="1" si="34"/>
        <v>33.403862652342532</v>
      </c>
      <c r="AF43">
        <f t="shared" ca="1" si="34"/>
        <v>35.634158443788756</v>
      </c>
      <c r="AG43">
        <f t="shared" ca="1" si="34"/>
        <v>37.567143004324564</v>
      </c>
      <c r="AH43">
        <f t="shared" ca="1" si="34"/>
        <v>39.326390910409522</v>
      </c>
      <c r="AI43">
        <f t="shared" ca="1" si="34"/>
        <v>40.96296321535511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0.39999999999741148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5.2937032055822298E-9</v>
      </c>
      <c r="L46">
        <f t="shared" ca="1" si="35"/>
        <v>6.6580364987050354E-8</v>
      </c>
      <c r="M46">
        <f t="shared" ca="1" si="35"/>
        <v>4.0221837697944288E-7</v>
      </c>
      <c r="N46">
        <f t="shared" ca="1" si="35"/>
        <v>1.7444946911528063E-6</v>
      </c>
      <c r="O46">
        <f t="shared" ca="1" si="35"/>
        <v>6.3826672654139256E-6</v>
      </c>
      <c r="P46">
        <f t="shared" ca="1" si="35"/>
        <v>2.911594423977825E-5</v>
      </c>
      <c r="Q46">
        <f t="shared" ca="1" si="35"/>
        <v>3.1533199543070886E-4</v>
      </c>
      <c r="R46">
        <f t="shared" ca="1" si="35"/>
        <v>1.0985300417906876E-3</v>
      </c>
      <c r="S46">
        <f t="shared" ca="1" si="35"/>
        <v>3.0012092644469191E-3</v>
      </c>
      <c r="T46">
        <f t="shared" ca="1" si="35"/>
        <v>7.8737945652470245E-3</v>
      </c>
      <c r="U46">
        <f t="shared" ca="1" si="35"/>
        <v>2.0085023984887564E-2</v>
      </c>
      <c r="V46">
        <f t="shared" ca="1" si="35"/>
        <v>4.9770077138191329E-2</v>
      </c>
      <c r="W46">
        <f t="shared" ca="1" si="35"/>
        <v>0.11847530203107604</v>
      </c>
      <c r="X46">
        <f t="shared" ca="1" si="35"/>
        <v>0.26276754180849815</v>
      </c>
      <c r="Y46">
        <f t="shared" ca="1" si="35"/>
        <v>0.51008730731480567</v>
      </c>
      <c r="Z46">
        <f t="shared" ca="1" si="35"/>
        <v>0.7935217024211606</v>
      </c>
      <c r="AA46">
        <f t="shared" ca="1" si="35"/>
        <v>0.93747973709078869</v>
      </c>
      <c r="AB46">
        <f t="shared" ca="1" si="35"/>
        <v>0.87361831887928698</v>
      </c>
      <c r="AC46">
        <f t="shared" ca="1" si="35"/>
        <v>0.7020791389285832</v>
      </c>
      <c r="AD46">
        <f t="shared" ca="1" si="35"/>
        <v>0.52333191795715861</v>
      </c>
      <c r="AE46">
        <f t="shared" ca="1" si="35"/>
        <v>0.37648624847513434</v>
      </c>
      <c r="AF46">
        <f t="shared" ca="1" si="35"/>
        <v>0.26618319832620596</v>
      </c>
      <c r="AG46">
        <f t="shared" ca="1" si="35"/>
        <v>0.18640597514288115</v>
      </c>
      <c r="AH46">
        <f t="shared" ca="1" si="35"/>
        <v>0.12973546888211918</v>
      </c>
      <c r="AI46">
        <f t="shared" ca="1" si="35"/>
        <v>0.26851516978445605</v>
      </c>
    </row>
    <row r="47" spans="1:35" ht="19" thickTop="1">
      <c r="A47" s="1" t="s">
        <v>41</v>
      </c>
      <c r="B47" s="11">
        <f ca="1">MAX(0,Ro*(reck-1/spr)/(reck-1))</f>
        <v>20157.703453360558</v>
      </c>
      <c r="F47" t="s">
        <v>84</v>
      </c>
      <c r="G47" s="31">
        <f ca="1">G39/G53</f>
        <v>0.99999999999999989</v>
      </c>
      <c r="H47" s="31">
        <f ca="1">H53/H39</f>
        <v>0.28887676115056937</v>
      </c>
      <c r="I47" s="31">
        <f ca="1">I53/I39</f>
        <v>0.47136743841493745</v>
      </c>
      <c r="J47" s="8" t="s">
        <v>76</v>
      </c>
      <c r="K47">
        <f t="shared" ref="K47:AI47" ca="1" si="36">lz*qa2_</f>
        <v>4.5730376572056437E-4</v>
      </c>
      <c r="L47">
        <f t="shared" ca="1" si="36"/>
        <v>2.4154850747998644E-2</v>
      </c>
      <c r="M47">
        <f t="shared" ca="1" si="36"/>
        <v>0.32540997744128358</v>
      </c>
      <c r="N47">
        <f t="shared" ca="1" si="36"/>
        <v>0.73680261950429926</v>
      </c>
      <c r="O47">
        <f t="shared" ca="1" si="36"/>
        <v>0.83931446406391119</v>
      </c>
      <c r="P47">
        <f t="shared" ca="1" si="36"/>
        <v>0.81945602191587419</v>
      </c>
      <c r="Q47">
        <f t="shared" ca="1" si="36"/>
        <v>0.73837667737181512</v>
      </c>
      <c r="R47">
        <f t="shared" ca="1" si="36"/>
        <v>0.62495752609363109</v>
      </c>
      <c r="S47">
        <f t="shared" ca="1" si="36"/>
        <v>0.50547170192112711</v>
      </c>
      <c r="T47">
        <f t="shared" ca="1" si="36"/>
        <v>0.39601873896866546</v>
      </c>
      <c r="U47">
        <f t="shared" ca="1" si="36"/>
        <v>0.30268937631004783</v>
      </c>
      <c r="V47">
        <f t="shared" ca="1" si="36"/>
        <v>0.2264865587777285</v>
      </c>
      <c r="W47">
        <f t="shared" ca="1" si="36"/>
        <v>0.16593997596880797</v>
      </c>
      <c r="X47">
        <f t="shared" ca="1" si="36"/>
        <v>0.1185204519683344</v>
      </c>
      <c r="Y47">
        <f t="shared" ca="1" si="36"/>
        <v>8.1605313314034922E-2</v>
      </c>
      <c r="Z47">
        <f t="shared" ca="1" si="36"/>
        <v>6.9897124960704965E-2</v>
      </c>
      <c r="AA47">
        <f t="shared" ca="1" si="36"/>
        <v>5.6213772057800891E-2</v>
      </c>
      <c r="AB47">
        <f t="shared" ca="1" si="36"/>
        <v>4.2775183990763264E-2</v>
      </c>
      <c r="AC47">
        <f t="shared" ca="1" si="36"/>
        <v>3.1355677935051583E-2</v>
      </c>
      <c r="AD47">
        <f t="shared" ca="1" si="36"/>
        <v>2.2492127094356683E-2</v>
      </c>
      <c r="AE47">
        <f t="shared" ca="1" si="36"/>
        <v>1.5933222447605956E-2</v>
      </c>
      <c r="AF47">
        <f t="shared" ca="1" si="36"/>
        <v>1.1196675036211096E-2</v>
      </c>
      <c r="AG47">
        <f t="shared" ca="1" si="36"/>
        <v>7.8222440001225278E-3</v>
      </c>
      <c r="AH47">
        <f t="shared" ca="1" si="36"/>
        <v>5.4390930308526077E-3</v>
      </c>
      <c r="AI47">
        <f t="shared" ca="1" si="36"/>
        <v>1.1253329561419745E-2</v>
      </c>
    </row>
    <row r="48" spans="1:35">
      <c r="A48" s="1" t="s">
        <v>43</v>
      </c>
      <c r="B48" s="1">
        <f ca="1">f1_*re*phi_q1</f>
        <v>29595.659045532288</v>
      </c>
      <c r="C48" s="20">
        <f ca="1">ye_1/SUM(ye_1,ye_2,ye_3)</f>
        <v>0.66809126427893872</v>
      </c>
      <c r="F48" t="s">
        <v>85</v>
      </c>
      <c r="G48" s="31">
        <f ca="1">G40/G54</f>
        <v>3.4616837852137796</v>
      </c>
      <c r="H48" s="31">
        <f t="shared" ref="H48:I49" ca="1" si="37">H40/H54</f>
        <v>0.99999999999999989</v>
      </c>
      <c r="I48" s="31">
        <f ca="1">I54/I40</f>
        <v>0.39618526887633004</v>
      </c>
      <c r="J48" s="8" t="s">
        <v>77</v>
      </c>
      <c r="K48">
        <f t="shared" ref="K48:AI48" ca="1" si="38">lz*qa3_</f>
        <v>1.0702428158486943E-6</v>
      </c>
      <c r="L48">
        <f t="shared" ca="1" si="38"/>
        <v>1.8857751270869776E-5</v>
      </c>
      <c r="M48">
        <f t="shared" ca="1" si="38"/>
        <v>1.5923108541123E-4</v>
      </c>
      <c r="N48">
        <f t="shared" ca="1" si="38"/>
        <v>9.5698086290545419E-4</v>
      </c>
      <c r="O48">
        <f t="shared" ca="1" si="38"/>
        <v>4.8427031551626139E-3</v>
      </c>
      <c r="P48">
        <f t="shared" ca="1" si="38"/>
        <v>5.6484621564102139E-2</v>
      </c>
      <c r="Q48">
        <f t="shared" ca="1" si="38"/>
        <v>1.0455391742192406</v>
      </c>
      <c r="R48">
        <f t="shared" ca="1" si="38"/>
        <v>2.0937654805935635</v>
      </c>
      <c r="S48">
        <f t="shared" ca="1" si="38"/>
        <v>2.3565436089138094</v>
      </c>
      <c r="T48">
        <f t="shared" ca="1" si="38"/>
        <v>2.2742180390750839</v>
      </c>
      <c r="U48">
        <f t="shared" ca="1" si="38"/>
        <v>2.072373171643263</v>
      </c>
      <c r="V48">
        <f t="shared" ca="1" si="38"/>
        <v>1.8332419958635189</v>
      </c>
      <c r="W48">
        <f t="shared" ca="1" si="38"/>
        <v>1.5845792012568476</v>
      </c>
      <c r="X48">
        <f t="shared" ca="1" si="38"/>
        <v>1.3344751176392016</v>
      </c>
      <c r="Y48">
        <f t="shared" ca="1" si="38"/>
        <v>1.0832578826540913</v>
      </c>
      <c r="Z48">
        <f t="shared" ca="1" si="38"/>
        <v>0.92783923636403154</v>
      </c>
      <c r="AA48">
        <f t="shared" ca="1" si="38"/>
        <v>0.74620155505070807</v>
      </c>
      <c r="AB48">
        <f t="shared" ca="1" si="38"/>
        <v>0.56781296901171496</v>
      </c>
      <c r="AC48">
        <f t="shared" ca="1" si="38"/>
        <v>0.41622639396527977</v>
      </c>
      <c r="AD48">
        <f t="shared" ca="1" si="38"/>
        <v>0.29856847530084968</v>
      </c>
      <c r="AE48">
        <f t="shared" ca="1" si="38"/>
        <v>0.2115032479077785</v>
      </c>
      <c r="AF48">
        <f t="shared" ca="1" si="38"/>
        <v>0.14862863703270607</v>
      </c>
      <c r="AG48">
        <f t="shared" ca="1" si="38"/>
        <v>0.1038352422049837</v>
      </c>
      <c r="AH48">
        <f t="shared" ca="1" si="38"/>
        <v>7.2200450692304269E-2</v>
      </c>
      <c r="AI48">
        <f t="shared" ca="1" si="38"/>
        <v>0.1493806893014612</v>
      </c>
    </row>
    <row r="49" spans="1:47">
      <c r="A49" s="1" t="s">
        <v>44</v>
      </c>
      <c r="B49" s="1">
        <f ca="1">f2_*re*phi_q2</f>
        <v>6228.2609913945716</v>
      </c>
      <c r="C49" s="20">
        <f ca="1">ye_2/SUM(ye_1,ye_2,ye_3)</f>
        <v>0.14059652307787146</v>
      </c>
      <c r="F49" t="s">
        <v>86</v>
      </c>
      <c r="G49" s="31">
        <f ca="1">G41/G55</f>
        <v>2.1214872273797485</v>
      </c>
      <c r="H49" s="31">
        <f t="shared" ca="1" si="37"/>
        <v>2.524071636576048</v>
      </c>
      <c r="I49" s="31">
        <f t="shared" ca="1" si="37"/>
        <v>1.0000000000000002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8474.9065275462744</v>
      </c>
      <c r="C50" s="20">
        <f ca="1">ye_3/SUM(ye_1,ye_2,ye_3)</f>
        <v>0.19131221264318993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44298.826564473129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1227.1216016947253</v>
      </c>
      <c r="H52" s="59">
        <f ca="1">H40^0.5</f>
        <v>352.05010998448734</v>
      </c>
      <c r="I52" s="11">
        <f ca="1">I41^0.5</f>
        <v>565.20910104657753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1.4682058952801142</v>
      </c>
      <c r="C53">
        <f ca="1">AVERAGE(B53:B55)/B53</f>
        <v>0.49893383008546788</v>
      </c>
      <c r="G53">
        <f ca="1">G$52*$J53</f>
        <v>1505827.4253458281</v>
      </c>
      <c r="H53">
        <f t="shared" ref="H53:I53" ca="1" si="39">H$52*$J53</f>
        <v>432008.29484096833</v>
      </c>
      <c r="I53">
        <f t="shared" ca="1" si="39"/>
        <v>693580.29736871202</v>
      </c>
      <c r="J53">
        <f t="array" aca="1" ref="J53:J55" ca="1">TRANSPOSE(G52:I52)</f>
        <v>1227.1216016947253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0.30897671482294958</v>
      </c>
      <c r="C54">
        <f ca="1">AVERAGE(B53:B55)/B54</f>
        <v>2.3708504736544009</v>
      </c>
      <c r="G54">
        <f t="shared" ref="G54:I55" ca="1" si="40">G$52*$J54</f>
        <v>432008.29484096833</v>
      </c>
      <c r="H54">
        <f t="shared" ca="1" si="40"/>
        <v>123939.27994008963</v>
      </c>
      <c r="I54">
        <f ca="1">I$52*$J54</f>
        <v>198981.92618768083</v>
      </c>
      <c r="J54">
        <f ca="1"/>
        <v>352.05010998448734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0.42043016195544808</v>
      </c>
      <c r="C55">
        <f ca="1">AVERAGE(B53:B55)/B55</f>
        <v>1.7423526116182786</v>
      </c>
      <c r="G55">
        <f t="shared" ca="1" si="40"/>
        <v>693580.29736871202</v>
      </c>
      <c r="H55">
        <f t="shared" ca="1" si="40"/>
        <v>198981.92618768083</v>
      </c>
      <c r="I55">
        <f t="shared" ca="1" si="40"/>
        <v>319461.32790588029</v>
      </c>
      <c r="J55">
        <f ca="1"/>
        <v>565.20910104657753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4.4843967885016413E-2</v>
      </c>
      <c r="C56">
        <f ca="1">AVERAGE(B56:B58)/B56</f>
        <v>1.2005261151137514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8.7149786051378478E-2</v>
      </c>
      <c r="C57">
        <f ca="1">AVERAGE(B56:B58)/B57</f>
        <v>0.61774511436603852</v>
      </c>
      <c r="G57">
        <f t="array" aca="1" ref="G57:I59" ca="1">MMULT($G$52:$I$52,TRANSPOSE($G$52:$I$52))</f>
        <v>1949228.033191798</v>
      </c>
      <c r="H57">
        <f ca="1"/>
        <v>1949228.033191798</v>
      </c>
      <c r="I57">
        <f ca="1"/>
        <v>1949228.033191798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2.9515309717458846E-2</v>
      </c>
      <c r="C58">
        <f ca="1">AVERAGE(B56:B58)/B58</f>
        <v>1.824014556060694</v>
      </c>
      <c r="G58">
        <f ca="1"/>
        <v>1949228.033191798</v>
      </c>
      <c r="H58">
        <f ca="1"/>
        <v>1949228.033191798</v>
      </c>
      <c r="I58">
        <f ca="1"/>
        <v>1949228.033191798</v>
      </c>
      <c r="AL58" s="31"/>
      <c r="AM58" s="31"/>
      <c r="AN58" s="31"/>
      <c r="AO58" s="31"/>
      <c r="AP58" s="31"/>
    </row>
    <row r="59" spans="1:47">
      <c r="G59">
        <f ca="1"/>
        <v>1949228.033191798</v>
      </c>
      <c r="H59">
        <f ca="1"/>
        <v>1949228.033191798</v>
      </c>
      <c r="I59">
        <f ca="1"/>
        <v>1949228.033191798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32.740320817388721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3.5453525340933685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14.244477390889649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B53" sqref="B53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0.60367371601208464</v>
      </c>
      <c r="E4" s="49">
        <v>24977</v>
      </c>
      <c r="F4" s="49">
        <f ca="1">ye_1</f>
        <v>27109.570776465585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0.22513595166163142</v>
      </c>
      <c r="E5" s="49">
        <v>9315</v>
      </c>
      <c r="F5" s="49">
        <f ca="1">ye_2</f>
        <v>10110.327572677941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0.17119033232628394</v>
      </c>
      <c r="E6" s="49">
        <v>7083</v>
      </c>
      <c r="F6" s="49">
        <f ca="1">ye_3</f>
        <v>7687.7563282101819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0.40000000000004898</v>
      </c>
      <c r="J7" t="s">
        <v>7</v>
      </c>
      <c r="K7" s="1">
        <f>1</f>
        <v>1</v>
      </c>
      <c r="L7" s="1">
        <f ca="1">K7*EXP(-K8)</f>
        <v>0.86050402114260227</v>
      </c>
      <c r="M7" s="1">
        <f t="shared" ref="M7:AH7" ca="1" si="4">L7*EXP(-L8)</f>
        <v>0.73846442563251935</v>
      </c>
      <c r="N7" s="1">
        <f t="shared" ca="1" si="4"/>
        <v>0.622975696421322</v>
      </c>
      <c r="O7" s="1">
        <f t="shared" ca="1" si="4"/>
        <v>0.51902665337055964</v>
      </c>
      <c r="P7" s="1">
        <f t="shared" ca="1" si="4"/>
        <v>0.43230380452126949</v>
      </c>
      <c r="Q7" s="1">
        <f t="shared" ca="1" si="4"/>
        <v>0.36347776059695625</v>
      </c>
      <c r="R7" s="1">
        <f t="shared" ca="1" si="4"/>
        <v>0.30328543908663858</v>
      </c>
      <c r="S7" s="1">
        <f t="shared" ca="1" si="4"/>
        <v>0.25142647583026817</v>
      </c>
      <c r="T7" s="1">
        <f t="shared" ca="1" si="4"/>
        <v>0.20849772035841116</v>
      </c>
      <c r="U7" s="1">
        <f t="shared" ca="1" si="4"/>
        <v>0.17327927766818035</v>
      </c>
      <c r="V7" s="1">
        <f t="shared" ca="1" si="4"/>
        <v>0.14428208091818295</v>
      </c>
      <c r="W7" s="1">
        <f t="shared" ca="1" si="4"/>
        <v>0.12014832604251618</v>
      </c>
      <c r="X7" s="1">
        <f t="shared" ca="1" si="4"/>
        <v>9.9638536360132882E-2</v>
      </c>
      <c r="Y7" s="1">
        <f t="shared" ca="1" si="4"/>
        <v>8.1554130946726186E-2</v>
      </c>
      <c r="Z7" s="1">
        <f t="shared" ca="1" si="4"/>
        <v>6.4866782507165197E-2</v>
      </c>
      <c r="AA7" s="1">
        <f t="shared" ca="1" si="4"/>
        <v>4.9223245589603747E-2</v>
      </c>
      <c r="AB7" s="1">
        <f t="shared" ca="1" si="4"/>
        <v>3.5563097092698677E-2</v>
      </c>
      <c r="AC7" s="1">
        <f t="shared" ca="1" si="4"/>
        <v>2.4821512061649696E-2</v>
      </c>
      <c r="AD7" s="1">
        <f t="shared" ca="1" si="4"/>
        <v>1.7012954562218942E-2</v>
      </c>
      <c r="AE7" s="1">
        <f t="shared" ca="1" si="4"/>
        <v>1.1567024685752235E-2</v>
      </c>
      <c r="AF7" s="1">
        <f t="shared" ca="1" si="4"/>
        <v>7.8381840927252786E-3</v>
      </c>
      <c r="AG7" s="1">
        <f t="shared" ca="1" si="4"/>
        <v>5.3043363685660681E-3</v>
      </c>
      <c r="AH7" s="1">
        <f t="shared" ca="1" si="4"/>
        <v>3.5877247293795581E-3</v>
      </c>
      <c r="AI7" s="1">
        <f ca="1">AH7*EXP(-AH8)/(1-EXP(-AI8))</f>
        <v>7.4923929050578182E-3</v>
      </c>
    </row>
    <row r="8" spans="1:35">
      <c r="A8" s="5"/>
      <c r="B8" s="26"/>
      <c r="C8" s="26"/>
      <c r="E8" t="s">
        <v>111</v>
      </c>
      <c r="F8">
        <f ca="1">SUMXMY2(E4:E6,F4:F6)</f>
        <v>5546134.2810070775</v>
      </c>
      <c r="J8" t="s">
        <v>11</v>
      </c>
      <c r="K8" s="1">
        <f ca="1">M+f1_*flt1_ +f2_*flt2_ +f3_*flt3_</f>
        <v>0.15023699031112772</v>
      </c>
      <c r="L8" s="1">
        <f t="shared" ref="L8:AI8" ca="1" si="5">M+f1_*flt1_ +f2_*flt2_ +f3_*flt3_</f>
        <v>0.15294535897355807</v>
      </c>
      <c r="M8" s="1">
        <f t="shared" ca="1" si="5"/>
        <v>0.17006542223060561</v>
      </c>
      <c r="N8" s="1">
        <f t="shared" ca="1" si="5"/>
        <v>0.18255227037766619</v>
      </c>
      <c r="O8" s="1">
        <f t="shared" ca="1" si="5"/>
        <v>0.18282664480368402</v>
      </c>
      <c r="P8" s="1">
        <f t="shared" ca="1" si="5"/>
        <v>0.17341047848493191</v>
      </c>
      <c r="Q8" s="1">
        <f t="shared" ca="1" si="5"/>
        <v>0.18104370854518034</v>
      </c>
      <c r="R8" s="1">
        <f t="shared" ca="1" si="5"/>
        <v>0.1875238010792124</v>
      </c>
      <c r="S8" s="1">
        <f t="shared" ca="1" si="5"/>
        <v>0.18722249652988648</v>
      </c>
      <c r="T8" s="1">
        <f t="shared" ca="1" si="5"/>
        <v>0.18502349298389251</v>
      </c>
      <c r="U8" s="1">
        <f t="shared" ca="1" si="5"/>
        <v>0.18313433595463344</v>
      </c>
      <c r="V8" s="1">
        <f t="shared" ca="1" si="5"/>
        <v>0.18304324885274534</v>
      </c>
      <c r="W8" s="1">
        <f t="shared" ca="1" si="5"/>
        <v>0.18717802884900134</v>
      </c>
      <c r="X8" s="1">
        <f t="shared" ca="1" si="5"/>
        <v>0.20028201783595553</v>
      </c>
      <c r="Y8" s="1">
        <f t="shared" ca="1" si="5"/>
        <v>0.22893131626310967</v>
      </c>
      <c r="Z8" s="1">
        <f t="shared" ca="1" si="5"/>
        <v>0.27596968365471103</v>
      </c>
      <c r="AA8" s="1">
        <f t="shared" ca="1" si="5"/>
        <v>0.32505748155377273</v>
      </c>
      <c r="AB8" s="1">
        <f t="shared" ca="1" si="5"/>
        <v>0.35959780267972358</v>
      </c>
      <c r="AC8" s="1">
        <f t="shared" ca="1" si="5"/>
        <v>0.37773561209060308</v>
      </c>
      <c r="AD8" s="1">
        <f t="shared" ca="1" si="5"/>
        <v>0.38581673646376102</v>
      </c>
      <c r="AE8" s="1">
        <f t="shared" ca="1" si="5"/>
        <v>0.38915116375616188</v>
      </c>
      <c r="AF8" s="1">
        <f t="shared" ca="1" si="5"/>
        <v>0.39048251793086863</v>
      </c>
      <c r="AG8" s="1">
        <f t="shared" ca="1" si="5"/>
        <v>0.39100644731778855</v>
      </c>
      <c r="AH8" s="1">
        <f t="shared" ca="1" si="5"/>
        <v>0.39121080267569552</v>
      </c>
      <c r="AI8" s="1">
        <f t="shared" ca="1" si="5"/>
        <v>0.39128958037793948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0.86050402114260227</v>
      </c>
      <c r="L10" s="1">
        <f t="shared" ca="1" si="6"/>
        <v>0.85817661218127117</v>
      </c>
      <c r="M10" s="1">
        <f t="shared" ca="1" si="6"/>
        <v>0.84360962396763062</v>
      </c>
      <c r="N10" s="1">
        <f t="shared" ca="1" si="6"/>
        <v>0.83314109419051718</v>
      </c>
      <c r="O10" s="1">
        <f t="shared" ca="1" si="6"/>
        <v>0.83291253293812195</v>
      </c>
      <c r="P10" s="1">
        <f t="shared" ca="1" si="6"/>
        <v>0.84079241680389383</v>
      </c>
      <c r="Q10" s="1">
        <f t="shared" ca="1" si="6"/>
        <v>0.83439888753727032</v>
      </c>
      <c r="R10" s="1">
        <f t="shared" ca="1" si="6"/>
        <v>0.82900938662750623</v>
      </c>
      <c r="S10" s="1">
        <f t="shared" ca="1" si="6"/>
        <v>0.82925920856148361</v>
      </c>
      <c r="T10" s="1">
        <f t="shared" ca="1" si="6"/>
        <v>0.83108475896192202</v>
      </c>
      <c r="U10" s="1">
        <f t="shared" ca="1" si="6"/>
        <v>0.83265629254569418</v>
      </c>
      <c r="V10" s="1">
        <f t="shared" ca="1" si="6"/>
        <v>0.83273214024857234</v>
      </c>
      <c r="W10" s="1">
        <f t="shared" ca="1" si="6"/>
        <v>0.82929608461523119</v>
      </c>
      <c r="X10" s="1">
        <f t="shared" ca="1" si="6"/>
        <v>0.81849988895819847</v>
      </c>
      <c r="Y10" s="1">
        <f t="shared" ca="1" si="6"/>
        <v>0.79538316151683708</v>
      </c>
      <c r="Z10" s="1">
        <f t="shared" ca="1" si="6"/>
        <v>0.7588359355447688</v>
      </c>
      <c r="AA10" s="1">
        <f t="shared" ca="1" si="6"/>
        <v>0.72248582284078045</v>
      </c>
      <c r="AB10" s="1">
        <f t="shared" ca="1" si="6"/>
        <v>0.69795698605636081</v>
      </c>
      <c r="AC10" s="1">
        <f t="shared" ca="1" si="6"/>
        <v>0.68541169127664425</v>
      </c>
      <c r="AD10" s="1">
        <f t="shared" ca="1" si="6"/>
        <v>0.6798951142466102</v>
      </c>
      <c r="AE10" s="1">
        <f t="shared" ca="1" si="6"/>
        <v>0.67763182889892315</v>
      </c>
      <c r="AF10" s="1">
        <f t="shared" ca="1" si="6"/>
        <v>0.67673026122071978</v>
      </c>
      <c r="AG10" s="1">
        <f t="shared" ca="1" si="6"/>
        <v>0.67637579521553515</v>
      </c>
      <c r="AH10" s="1">
        <f t="shared" ca="1" si="6"/>
        <v>0.67623758831996506</v>
      </c>
      <c r="AI10" s="1">
        <f t="shared" ca="1" si="6"/>
        <v>0.67618431797487144</v>
      </c>
    </row>
    <row r="11" spans="1:35">
      <c r="A11" s="5">
        <v>1</v>
      </c>
      <c r="B11" s="25">
        <v>0.2776560452429222</v>
      </c>
      <c r="C11" s="18">
        <f ca="1">mpr1_/SUM(mpr1_,mpr2_,mpr3_)</f>
        <v>0.26267796046128206</v>
      </c>
      <c r="J11" t="s">
        <v>56</v>
      </c>
      <c r="K11" s="1">
        <f ca="1">1-sa</f>
        <v>0.13949597885739773</v>
      </c>
      <c r="L11" s="1">
        <f t="shared" ref="L11:AI11" ca="1" si="7">1-sa</f>
        <v>0.14182338781872883</v>
      </c>
      <c r="M11" s="1">
        <f t="shared" ca="1" si="7"/>
        <v>0.15639037603236938</v>
      </c>
      <c r="N11" s="1">
        <f t="shared" ca="1" si="7"/>
        <v>0.16685890580948282</v>
      </c>
      <c r="O11" s="1">
        <f t="shared" ca="1" si="7"/>
        <v>0.16708746706187805</v>
      </c>
      <c r="P11" s="1">
        <f t="shared" ca="1" si="7"/>
        <v>0.15920758319610617</v>
      </c>
      <c r="Q11" s="1">
        <f t="shared" ca="1" si="7"/>
        <v>0.16560111246272968</v>
      </c>
      <c r="R11" s="1">
        <f t="shared" ca="1" si="7"/>
        <v>0.17099061337249377</v>
      </c>
      <c r="S11" s="1">
        <f t="shared" ca="1" si="7"/>
        <v>0.17074079143851639</v>
      </c>
      <c r="T11" s="1">
        <f t="shared" ca="1" si="7"/>
        <v>0.16891524103807798</v>
      </c>
      <c r="U11" s="1">
        <f t="shared" ca="1" si="7"/>
        <v>0.16734370745430582</v>
      </c>
      <c r="V11" s="1">
        <f t="shared" ca="1" si="7"/>
        <v>0.16726785975142766</v>
      </c>
      <c r="W11" s="1">
        <f t="shared" ca="1" si="7"/>
        <v>0.17070391538476881</v>
      </c>
      <c r="X11" s="1">
        <f t="shared" ca="1" si="7"/>
        <v>0.18150011104180153</v>
      </c>
      <c r="Y11" s="1">
        <f t="shared" ca="1" si="7"/>
        <v>0.20461683848316292</v>
      </c>
      <c r="Z11" s="1">
        <f t="shared" ca="1" si="7"/>
        <v>0.2411640644552312</v>
      </c>
      <c r="AA11" s="1">
        <f t="shared" ca="1" si="7"/>
        <v>0.27751417715921955</v>
      </c>
      <c r="AB11" s="1">
        <f t="shared" ca="1" si="7"/>
        <v>0.30204301394363919</v>
      </c>
      <c r="AC11" s="1">
        <f t="shared" ca="1" si="7"/>
        <v>0.31458830872335575</v>
      </c>
      <c r="AD11" s="1">
        <f t="shared" ca="1" si="7"/>
        <v>0.3201048857533898</v>
      </c>
      <c r="AE11" s="1">
        <f t="shared" ca="1" si="7"/>
        <v>0.32236817110107685</v>
      </c>
      <c r="AF11" s="1">
        <f t="shared" ca="1" si="7"/>
        <v>0.32326973877928022</v>
      </c>
      <c r="AG11" s="1">
        <f t="shared" ca="1" si="7"/>
        <v>0.32362420478446485</v>
      </c>
      <c r="AH11" s="1">
        <f t="shared" ca="1" si="7"/>
        <v>0.32376241168003494</v>
      </c>
      <c r="AI11" s="1">
        <f t="shared" ca="1" si="7"/>
        <v>0.32381568202512856</v>
      </c>
    </row>
    <row r="12" spans="1:35">
      <c r="A12" s="5">
        <v>2</v>
      </c>
      <c r="B12" s="25">
        <v>0.53959687512124965</v>
      </c>
      <c r="C12" s="18">
        <f ca="1">mpr2_/SUM(mpr1_,mpr2_,mpr3_)</f>
        <v>0.5572423125181114</v>
      </c>
      <c r="J12" t="s">
        <v>100</v>
      </c>
      <c r="K12">
        <f>1/(1+EXP(($E18-len)/2.5))</f>
        <v>0.99898718624880734</v>
      </c>
      <c r="L12">
        <f t="shared" ref="L12:AI12" si="8">1/(1+EXP(($E18-len)/2.5))</f>
        <v>0.99999561571634576</v>
      </c>
      <c r="M12">
        <f t="shared" si="8"/>
        <v>0.99999997149652653</v>
      </c>
      <c r="N12">
        <f t="shared" si="8"/>
        <v>0.99999999972979126</v>
      </c>
      <c r="O12">
        <f t="shared" si="8"/>
        <v>0.9999999999963689</v>
      </c>
      <c r="P12">
        <f t="shared" si="8"/>
        <v>0.99999999999993272</v>
      </c>
      <c r="Q12">
        <f t="shared" si="8"/>
        <v>0.99999999999999822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0.18007972702060651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0.40000000000004898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2.3971634016919937E-27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0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6.9550658915612429E-7</v>
      </c>
      <c r="L18" s="4">
        <f t="shared" ref="K18:O20" si="12">((EXP(g*(ah-age)/gh)/(1+EXP((ah-age)/gh))) *(1/(1-g))*((1-g)/g)^g) *(sr+(1-sr)*dmr)</f>
        <v>1.7796593889779232E-6</v>
      </c>
      <c r="M18" s="4">
        <f t="shared" si="12"/>
        <v>4.5499366343571328E-6</v>
      </c>
      <c r="N18" s="4">
        <f t="shared" si="12"/>
        <v>1.1632427530234354E-5</v>
      </c>
      <c r="O18" s="4">
        <f t="shared" si="12"/>
        <v>2.9739287925580087E-5</v>
      </c>
      <c r="P18" s="4">
        <f t="shared" ref="P18:AI18" si="13">((EXP(g*(ah-age)/gh)/(1+EXP((ah-age)/gh))) *(1/(1-g))*((1-g)/g)^g) *(sr_1+(1-sr_1)*dmr)</f>
        <v>7.602887032963758E-5</v>
      </c>
      <c r="Q18" s="4">
        <f t="shared" si="13"/>
        <v>1.9435477942245623E-4</v>
      </c>
      <c r="R18" s="4">
        <f t="shared" si="13"/>
        <v>4.9674322392758363E-4</v>
      </c>
      <c r="S18" s="4">
        <f t="shared" si="13"/>
        <v>1.2690081150531374E-3</v>
      </c>
      <c r="T18" s="4">
        <f t="shared" si="13"/>
        <v>3.2379905213052156E-3</v>
      </c>
      <c r="U18" s="4">
        <f t="shared" si="13"/>
        <v>8.2368376871169522E-3</v>
      </c>
      <c r="V18" s="4">
        <f t="shared" si="13"/>
        <v>2.0792008372629657E-2</v>
      </c>
      <c r="W18" s="4">
        <f t="shared" si="13"/>
        <v>5.1491204908949553E-2</v>
      </c>
      <c r="X18" s="4">
        <f t="shared" si="13"/>
        <v>0.12187661989811299</v>
      </c>
      <c r="Y18" s="4">
        <f t="shared" si="13"/>
        <v>0.26191103367452068</v>
      </c>
      <c r="Z18" s="4">
        <f t="shared" si="13"/>
        <v>0.4756934927991851</v>
      </c>
      <c r="AA18" s="4">
        <f t="shared" si="13"/>
        <v>0.69879031205124198</v>
      </c>
      <c r="AB18" s="4">
        <f t="shared" si="13"/>
        <v>0.85577098971353227</v>
      </c>
      <c r="AC18" s="4">
        <f t="shared" si="13"/>
        <v>0.93820466490279131</v>
      </c>
      <c r="AD18" s="4">
        <f t="shared" si="13"/>
        <v>0.97493218621753863</v>
      </c>
      <c r="AE18" s="4">
        <f t="shared" si="13"/>
        <v>0.99008666767322651</v>
      </c>
      <c r="AF18" s="4">
        <f t="shared" si="13"/>
        <v>0.99613747651752993</v>
      </c>
      <c r="AG18" s="4">
        <f t="shared" si="13"/>
        <v>0.9985186584962954</v>
      </c>
      <c r="AH18" s="4">
        <f t="shared" si="13"/>
        <v>0.99944742353154725</v>
      </c>
      <c r="AI18" s="4">
        <f t="shared" si="13"/>
        <v>0.99980545659782483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6.9769370284580995E-3</v>
      </c>
      <c r="L19" s="4">
        <f t="shared" si="12"/>
        <v>9.0194322125440346E-2</v>
      </c>
      <c r="M19" s="4">
        <f t="shared" si="12"/>
        <v>0.61901880060648884</v>
      </c>
      <c r="N19" s="4">
        <f t="shared" si="12"/>
        <v>0.99465593445928724</v>
      </c>
      <c r="O19" s="4">
        <f t="shared" si="12"/>
        <v>0.96041218455121224</v>
      </c>
      <c r="P19" s="4">
        <f t="shared" ref="P19:Y19" si="14">((EXP(g*(ah-age)/gh)/(1+EXP((ah-age)/gh))) *(1/(1-g))*((1-g)/g)^g) *(sr_2+(1-sr_2)*dmr)</f>
        <v>0.70743533876272136</v>
      </c>
      <c r="Q19" s="4">
        <f t="shared" si="14"/>
        <v>0.6492599837541615</v>
      </c>
      <c r="R19" s="4">
        <f t="shared" si="14"/>
        <v>0.59574057607123032</v>
      </c>
      <c r="S19" s="4">
        <f t="shared" si="14"/>
        <v>0.54662506941470868</v>
      </c>
      <c r="T19" s="4">
        <f t="shared" si="14"/>
        <v>0.50155839141389946</v>
      </c>
      <c r="U19" s="4">
        <f t="shared" si="14"/>
        <v>0.46020722133927372</v>
      </c>
      <c r="V19" s="4">
        <f t="shared" si="14"/>
        <v>0.42226526227867622</v>
      </c>
      <c r="W19" s="4">
        <f t="shared" si="14"/>
        <v>0.38745144232994355</v>
      </c>
      <c r="X19" s="4">
        <f t="shared" si="14"/>
        <v>0.35550786098485632</v>
      </c>
      <c r="Y19" s="4">
        <f t="shared" si="14"/>
        <v>0.32619788033882458</v>
      </c>
      <c r="Z19" s="4">
        <f>Y19</f>
        <v>0.32619788033882458</v>
      </c>
      <c r="AA19" s="4">
        <f t="shared" ref="AA19:AI20" si="15">Z19</f>
        <v>0.32619788033882458</v>
      </c>
      <c r="AB19" s="4">
        <f t="shared" si="15"/>
        <v>0.32619788033882458</v>
      </c>
      <c r="AC19" s="4">
        <f t="shared" si="15"/>
        <v>0.32619788033882458</v>
      </c>
      <c r="AD19" s="4">
        <f t="shared" si="15"/>
        <v>0.32619788033882458</v>
      </c>
      <c r="AE19" s="4">
        <f t="shared" si="15"/>
        <v>0.32619788033882458</v>
      </c>
      <c r="AF19" s="4">
        <f t="shared" si="15"/>
        <v>0.32619788033882458</v>
      </c>
      <c r="AG19" s="4">
        <f t="shared" si="15"/>
        <v>0.32619788033882458</v>
      </c>
      <c r="AH19" s="4">
        <f t="shared" si="15"/>
        <v>0.32619788033882458</v>
      </c>
      <c r="AI19" s="4">
        <f t="shared" si="15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6.427186273912825E-4</v>
      </c>
      <c r="L20" s="4">
        <f t="shared" si="12"/>
        <v>2.304264396173086E-3</v>
      </c>
      <c r="M20" s="4">
        <f t="shared" si="12"/>
        <v>8.2341978161840131E-3</v>
      </c>
      <c r="N20" s="4">
        <f t="shared" si="12"/>
        <v>2.9157603125779884E-2</v>
      </c>
      <c r="O20" s="4">
        <f t="shared" si="12"/>
        <v>9.9696143239982229E-2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3.306143811183527E-8</v>
      </c>
      <c r="L22" s="1">
        <f t="shared" ca="1" si="17"/>
        <v>4.8422571083902091E-7</v>
      </c>
      <c r="M22" s="1">
        <f t="shared" ca="1" si="17"/>
        <v>3.4281658392586236E-6</v>
      </c>
      <c r="N22" s="1">
        <f t="shared" ca="1" si="17"/>
        <v>1.7766588414057305E-5</v>
      </c>
      <c r="O22" s="1">
        <f t="shared" ca="1" si="17"/>
        <v>7.7620417435952008E-5</v>
      </c>
      <c r="P22" s="1">
        <f t="shared" ca="1" si="17"/>
        <v>3.0425232640950281E-4</v>
      </c>
      <c r="Q22" s="1">
        <f t="shared" ca="1" si="17"/>
        <v>1.0933739271680352E-3</v>
      </c>
      <c r="R22" s="1">
        <f t="shared" ca="1" si="17"/>
        <v>3.7109058970748419E-3</v>
      </c>
      <c r="S22" s="1">
        <f t="shared" ca="1" si="17"/>
        <v>1.20882497166313E-2</v>
      </c>
      <c r="T22" s="1">
        <f t="shared" ca="1" si="17"/>
        <v>3.8032880951248738E-2</v>
      </c>
      <c r="U22" s="1">
        <f t="shared" ca="1" si="17"/>
        <v>0.11601885710605744</v>
      </c>
      <c r="V22" s="1">
        <f t="shared" ca="1" si="17"/>
        <v>0.34301152544968166</v>
      </c>
      <c r="W22" s="1">
        <f t="shared" ca="1" si="17"/>
        <v>0.97430388698334291</v>
      </c>
      <c r="X22" s="1">
        <f t="shared" ca="1" si="17"/>
        <v>2.5919824820865505</v>
      </c>
      <c r="Y22" s="1">
        <f t="shared" ca="1" si="17"/>
        <v>6.1302757493422098</v>
      </c>
      <c r="Z22" s="1">
        <f t="shared" ca="1" si="17"/>
        <v>12.006545527757375</v>
      </c>
      <c r="AA22" s="1">
        <f t="shared" ca="1" si="17"/>
        <v>18.81368995359469</v>
      </c>
      <c r="AB22" s="1">
        <f t="shared" ca="1" si="17"/>
        <v>24.532798197082663</v>
      </c>
      <c r="AC22" s="1">
        <f t="shared" ca="1" si="17"/>
        <v>28.639659477342807</v>
      </c>
      <c r="AD22" s="1">
        <f t="shared" ca="1" si="17"/>
        <v>31.624051756891635</v>
      </c>
      <c r="AE22" s="1">
        <f t="shared" ca="1" si="17"/>
        <v>33.996251643532744</v>
      </c>
      <c r="AF22" s="1">
        <f t="shared" ca="1" si="17"/>
        <v>36.046604954826812</v>
      </c>
      <c r="AG22" s="1">
        <f t="shared" ca="1" si="17"/>
        <v>37.911255791745077</v>
      </c>
      <c r="AH22" s="1">
        <f t="shared" ca="1" si="17"/>
        <v>39.649410739931554</v>
      </c>
      <c r="AI22" s="1">
        <f t="shared" ca="1" si="17"/>
        <v>41.286253168285107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3.3165404235265997E-4</v>
      </c>
      <c r="L23" s="1">
        <f t="shared" ca="1" si="18"/>
        <v>2.4540881258136506E-2</v>
      </c>
      <c r="M23" s="1">
        <f t="shared" ca="1" si="18"/>
        <v>0.46640190328669145</v>
      </c>
      <c r="N23" s="1">
        <f t="shared" ca="1" si="18"/>
        <v>1.5191706593663765</v>
      </c>
      <c r="O23" s="1">
        <f t="shared" ca="1" si="18"/>
        <v>2.506704089956302</v>
      </c>
      <c r="P23" s="1">
        <f t="shared" ca="1" si="18"/>
        <v>2.831014674684023</v>
      </c>
      <c r="Q23" s="1">
        <f t="shared" ca="1" si="18"/>
        <v>3.6525159828836227</v>
      </c>
      <c r="R23" s="1">
        <f t="shared" ca="1" si="18"/>
        <v>4.4504627549620661</v>
      </c>
      <c r="S23" s="1">
        <f t="shared" ca="1" si="18"/>
        <v>5.2070118875317277</v>
      </c>
      <c r="T23" s="1">
        <f t="shared" ca="1" si="18"/>
        <v>5.8912187868466477</v>
      </c>
      <c r="U23" s="1">
        <f t="shared" ca="1" si="18"/>
        <v>6.4821862321321762</v>
      </c>
      <c r="V23" s="1">
        <f t="shared" ca="1" si="18"/>
        <v>6.9662270793083492</v>
      </c>
      <c r="W23" s="1">
        <f t="shared" ca="1" si="18"/>
        <v>7.3312606870800776</v>
      </c>
      <c r="X23" s="1">
        <f t="shared" ca="1" si="18"/>
        <v>7.5606802082888676</v>
      </c>
      <c r="Y23" s="1">
        <f t="shared" ca="1" si="18"/>
        <v>7.6349702693814461</v>
      </c>
      <c r="Z23" s="1">
        <f t="shared" ca="1" si="18"/>
        <v>8.2332631424063045</v>
      </c>
      <c r="AA23" s="1">
        <f t="shared" ca="1" si="18"/>
        <v>8.7822994657722244</v>
      </c>
      <c r="AB23" s="1">
        <f t="shared" ca="1" si="18"/>
        <v>9.3512713878596667</v>
      </c>
      <c r="AC23" s="1">
        <f t="shared" ca="1" si="18"/>
        <v>9.9575247966848579</v>
      </c>
      <c r="AD23" s="1">
        <f t="shared" ca="1" si="18"/>
        <v>10.580939676271566</v>
      </c>
      <c r="AE23" s="1">
        <f t="shared" ca="1" si="18"/>
        <v>11.200539899852185</v>
      </c>
      <c r="AF23" s="1">
        <f t="shared" ca="1" si="18"/>
        <v>11.803919044168754</v>
      </c>
      <c r="AG23" s="1">
        <f t="shared" ca="1" si="18"/>
        <v>12.384917572670588</v>
      </c>
      <c r="AH23" s="1">
        <f t="shared" ca="1" si="18"/>
        <v>12.940704468823773</v>
      </c>
      <c r="AI23" s="1">
        <f t="shared" ca="1" si="18"/>
        <v>13.470108791418633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3.0552121941220991E-5</v>
      </c>
      <c r="L24" s="1">
        <f t="shared" ca="1" si="19"/>
        <v>6.2696495301764802E-4</v>
      </c>
      <c r="M24" s="1">
        <f t="shared" ca="1" si="19"/>
        <v>6.2040854490116202E-3</v>
      </c>
      <c r="N24" s="1">
        <f t="shared" ca="1" si="19"/>
        <v>4.4533364384151487E-2</v>
      </c>
      <c r="O24" s="1">
        <f t="shared" ca="1" si="19"/>
        <v>0.26020987033740289</v>
      </c>
      <c r="P24" s="1">
        <f t="shared" ca="1" si="19"/>
        <v>0.13304820324004676</v>
      </c>
      <c r="Q24" s="1">
        <f t="shared" ca="1" si="19"/>
        <v>2.9293454621389481</v>
      </c>
      <c r="R24" s="1">
        <f t="shared" ca="1" si="19"/>
        <v>7.0154032219347995</v>
      </c>
      <c r="S24" s="1">
        <f t="shared" ca="1" si="19"/>
        <v>9.4883553990108993</v>
      </c>
      <c r="T24" s="1">
        <f t="shared" ca="1" si="19"/>
        <v>10.984974732401479</v>
      </c>
      <c r="U24" s="1">
        <f t="shared" ca="1" si="19"/>
        <v>11.970812831539391</v>
      </c>
      <c r="V24" s="1">
        <f t="shared" ca="1" si="19"/>
        <v>12.634560851464546</v>
      </c>
      <c r="W24" s="1">
        <f t="shared" ca="1" si="19"/>
        <v>13.031084391913446</v>
      </c>
      <c r="X24" s="1">
        <f t="shared" ca="1" si="19"/>
        <v>13.163483205346131</v>
      </c>
      <c r="Y24" s="1">
        <f t="shared" ca="1" si="19"/>
        <v>13.018691961111985</v>
      </c>
      <c r="Z24" s="1">
        <f t="shared" ca="1" si="19"/>
        <v>14.038864973137395</v>
      </c>
      <c r="AA24" s="1">
        <f t="shared" ca="1" si="19"/>
        <v>14.975048680103086</v>
      </c>
      <c r="AB24" s="1">
        <f t="shared" ca="1" si="19"/>
        <v>15.945225370624545</v>
      </c>
      <c r="AC24" s="1">
        <f t="shared" ca="1" si="19"/>
        <v>16.97897220936747</v>
      </c>
      <c r="AD24" s="1">
        <f t="shared" ca="1" si="19"/>
        <v>18.041981755568436</v>
      </c>
      <c r="AE24" s="1">
        <f t="shared" ca="1" si="19"/>
        <v>19.098486779848731</v>
      </c>
      <c r="AF24" s="1">
        <f t="shared" ca="1" si="19"/>
        <v>20.127332595675746</v>
      </c>
      <c r="AG24" s="1">
        <f t="shared" ca="1" si="19"/>
        <v>21.11801633189906</v>
      </c>
      <c r="AH24" s="1">
        <f t="shared" ca="1" si="19"/>
        <v>22.065710709447313</v>
      </c>
      <c r="AI24" s="1">
        <f t="shared" ca="1" si="19"/>
        <v>22.968419109817027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6.4578218889491053E-7</v>
      </c>
      <c r="L26">
        <f t="shared" ref="L26:AI26" ca="1" si="20">qa1_/wa</f>
        <v>1.6502450640028485E-6</v>
      </c>
      <c r="M26">
        <f t="shared" ca="1" si="20"/>
        <v>4.1840739395318959E-6</v>
      </c>
      <c r="N26">
        <f t="shared" ca="1" si="20"/>
        <v>1.0632429416448779E-5</v>
      </c>
      <c r="O26">
        <f t="shared" ca="1" si="20"/>
        <v>2.7179092506153906E-5</v>
      </c>
      <c r="P26">
        <f t="shared" ca="1" si="20"/>
        <v>6.9801852829576983E-5</v>
      </c>
      <c r="Q26">
        <f t="shared" ca="1" si="20"/>
        <v>1.7777678077542902E-4</v>
      </c>
      <c r="R26">
        <f t="shared" ca="1" si="20"/>
        <v>4.5294745551861169E-4</v>
      </c>
      <c r="S26">
        <f t="shared" ca="1" si="20"/>
        <v>1.1572938825302177E-3</v>
      </c>
      <c r="T26">
        <f t="shared" ca="1" si="20"/>
        <v>2.956089200158476E-3</v>
      </c>
      <c r="U26">
        <f t="shared" ca="1" si="20"/>
        <v>7.5266221873486212E-3</v>
      </c>
      <c r="V26">
        <f t="shared" ca="1" si="20"/>
        <v>1.9000071088234326E-2</v>
      </c>
      <c r="W26">
        <f t="shared" ca="1" si="20"/>
        <v>4.6959305746979041E-2</v>
      </c>
      <c r="X26">
        <f t="shared" ca="1" si="20"/>
        <v>0.11044735959783082</v>
      </c>
      <c r="Y26">
        <f t="shared" ca="1" si="20"/>
        <v>0.23409382582130134</v>
      </c>
      <c r="Z26">
        <f t="shared" ca="1" si="20"/>
        <v>0.41569847324930381</v>
      </c>
      <c r="AA26">
        <f t="shared" ca="1" si="20"/>
        <v>0.59658438725599572</v>
      </c>
      <c r="AB26">
        <f t="shared" ca="1" si="20"/>
        <v>0.71880208124859335</v>
      </c>
      <c r="AC26">
        <f t="shared" ca="1" si="20"/>
        <v>0.78136190849100573</v>
      </c>
      <c r="AD26">
        <f t="shared" ca="1" si="20"/>
        <v>0.80888288814754639</v>
      </c>
      <c r="AE26">
        <f t="shared" ca="1" si="20"/>
        <v>0.820175957354628</v>
      </c>
      <c r="AF26">
        <f t="shared" ca="1" si="20"/>
        <v>0.82467482418530247</v>
      </c>
      <c r="AG26">
        <f t="shared" ca="1" si="20"/>
        <v>0.82644367895979964</v>
      </c>
      <c r="AH26">
        <f t="shared" ca="1" si="20"/>
        <v>0.82713336640198576</v>
      </c>
      <c r="AI26">
        <f t="shared" ca="1" si="20"/>
        <v>0.82739920012171786</v>
      </c>
      <c r="AM26" s="44"/>
    </row>
    <row r="27" spans="1:39">
      <c r="A27" t="s">
        <v>14</v>
      </c>
      <c r="B27" s="28">
        <f ca="1">fbar*C27</f>
        <v>0.22002912485991943</v>
      </c>
      <c r="C27" s="36">
        <f ca="1">CHOOSE(C$25,E36,E39,1)</f>
        <v>2.4301258521347</v>
      </c>
      <c r="E27" s="42">
        <f ca="1">f1_/(F4/(365*re*phib))</f>
        <v>2035.3111123523515</v>
      </c>
      <c r="J27" s="8" t="s">
        <v>31</v>
      </c>
      <c r="K27">
        <f t="shared" ref="K27:AI27" ca="1" si="21">qa2_/wa</f>
        <v>6.4781293754331793E-3</v>
      </c>
      <c r="L27">
        <f t="shared" ca="1" si="21"/>
        <v>8.363551801565397E-2</v>
      </c>
      <c r="M27">
        <f t="shared" ca="1" si="21"/>
        <v>0.56924318728756274</v>
      </c>
      <c r="N27">
        <f t="shared" ca="1" si="21"/>
        <v>0.90914892779712098</v>
      </c>
      <c r="O27">
        <f t="shared" ca="1" si="21"/>
        <v>0.87773223330953698</v>
      </c>
      <c r="P27">
        <f t="shared" ca="1" si="21"/>
        <v>0.64949403021062624</v>
      </c>
      <c r="Q27">
        <f t="shared" ca="1" si="21"/>
        <v>0.59387965730049808</v>
      </c>
      <c r="R27">
        <f t="shared" ca="1" si="21"/>
        <v>0.54321662598057607</v>
      </c>
      <c r="S27">
        <f t="shared" ca="1" si="21"/>
        <v>0.49850417926193386</v>
      </c>
      <c r="T27">
        <f t="shared" ca="1" si="21"/>
        <v>0.45789242876160047</v>
      </c>
      <c r="U27">
        <f t="shared" ca="1" si="21"/>
        <v>0.42052617940109394</v>
      </c>
      <c r="V27">
        <f t="shared" ca="1" si="21"/>
        <v>0.38587277657834296</v>
      </c>
      <c r="W27">
        <f t="shared" ca="1" si="21"/>
        <v>0.35335065036160201</v>
      </c>
      <c r="X27">
        <f t="shared" ca="1" si="21"/>
        <v>0.32216929378969433</v>
      </c>
      <c r="Y27">
        <f t="shared" ca="1" si="21"/>
        <v>0.29155285560901156</v>
      </c>
      <c r="Z27">
        <f t="shared" ca="1" si="21"/>
        <v>0.28505742224069536</v>
      </c>
      <c r="AA27">
        <f t="shared" ca="1" si="21"/>
        <v>0.27848777982467521</v>
      </c>
      <c r="AB27">
        <f t="shared" ca="1" si="21"/>
        <v>0.27398885695449404</v>
      </c>
      <c r="AC27">
        <f t="shared" ca="1" si="21"/>
        <v>0.27166630892170313</v>
      </c>
      <c r="AD27">
        <f t="shared" ca="1" si="21"/>
        <v>0.27064024276371718</v>
      </c>
      <c r="AE27">
        <f t="shared" ca="1" si="21"/>
        <v>0.27021842383019151</v>
      </c>
      <c r="AF27">
        <f t="shared" ca="1" si="21"/>
        <v>0.27005025506969221</v>
      </c>
      <c r="AG27">
        <f t="shared" ca="1" si="21"/>
        <v>0.26998411497095409</v>
      </c>
      <c r="AH27">
        <f t="shared" ca="1" si="21"/>
        <v>0.26995832349487037</v>
      </c>
      <c r="AI27">
        <f t="shared" ca="1" si="21"/>
        <v>0.26994838195037957</v>
      </c>
    </row>
    <row r="28" spans="1:39">
      <c r="A28" t="s">
        <v>15</v>
      </c>
      <c r="B28" s="28">
        <f ca="1">fbar*C28</f>
        <v>3.2154634114065217E-2</v>
      </c>
      <c r="C28" s="36">
        <f ca="1">CHOOSE(C$25,E37,E40,1)</f>
        <v>0.35513392909356717</v>
      </c>
      <c r="E28" s="42">
        <f ca="1">f2_/(F5/(365*re*phib))</f>
        <v>797.53843008718741</v>
      </c>
      <c r="J28" s="8" t="s">
        <v>32</v>
      </c>
      <c r="K28">
        <f t="shared" ref="K28:AI28" ca="1" si="22">qa3_/wa</f>
        <v>5.9676823844885931E-4</v>
      </c>
      <c r="L28">
        <f t="shared" ca="1" si="22"/>
        <v>2.1367015337277612E-3</v>
      </c>
      <c r="M28">
        <f t="shared" ca="1" si="22"/>
        <v>7.5720818253799298E-3</v>
      </c>
      <c r="N28">
        <f t="shared" ca="1" si="22"/>
        <v>2.6651028461763825E-2</v>
      </c>
      <c r="O28">
        <f t="shared" ca="1" si="22"/>
        <v>9.1113503000035054E-2</v>
      </c>
      <c r="P28">
        <f t="shared" ca="1" si="22"/>
        <v>3.0524043025070283E-2</v>
      </c>
      <c r="Q28">
        <f t="shared" ca="1" si="22"/>
        <v>0.47629597990051492</v>
      </c>
      <c r="R28">
        <f t="shared" ca="1" si="22"/>
        <v>0.85628930696335337</v>
      </c>
      <c r="S28">
        <f t="shared" ca="1" si="22"/>
        <v>0.90838755948598671</v>
      </c>
      <c r="T28">
        <f t="shared" ca="1" si="22"/>
        <v>0.85380240355942805</v>
      </c>
      <c r="U28">
        <f t="shared" ca="1" si="22"/>
        <v>0.77659604400427906</v>
      </c>
      <c r="V28">
        <f t="shared" ca="1" si="22"/>
        <v>0.69985273536140757</v>
      </c>
      <c r="W28">
        <f t="shared" ca="1" si="22"/>
        <v>0.62806962422085844</v>
      </c>
      <c r="X28">
        <f t="shared" ca="1" si="22"/>
        <v>0.56091118407964746</v>
      </c>
      <c r="Y28">
        <f t="shared" ca="1" si="22"/>
        <v>0.49713838870832811</v>
      </c>
      <c r="Z28">
        <f t="shared" ca="1" si="22"/>
        <v>0.48606276651302555</v>
      </c>
      <c r="AA28">
        <f t="shared" ca="1" si="22"/>
        <v>0.47486060751421233</v>
      </c>
      <c r="AB28">
        <f t="shared" ca="1" si="22"/>
        <v>0.4671893149043938</v>
      </c>
      <c r="AC28">
        <f t="shared" ca="1" si="22"/>
        <v>0.46322904573019047</v>
      </c>
      <c r="AD28">
        <f t="shared" ca="1" si="22"/>
        <v>0.46147945944874658</v>
      </c>
      <c r="AE28">
        <f t="shared" ca="1" si="22"/>
        <v>0.46076019918116456</v>
      </c>
      <c r="AF28">
        <f t="shared" ca="1" si="22"/>
        <v>0.46047344792828776</v>
      </c>
      <c r="AG28">
        <f t="shared" ca="1" si="22"/>
        <v>0.46036066981110224</v>
      </c>
      <c r="AH28">
        <f t="shared" ca="1" si="22"/>
        <v>0.46031669173777517</v>
      </c>
      <c r="AI28">
        <f t="shared" ca="1" si="22"/>
        <v>0.46029974001422208</v>
      </c>
    </row>
    <row r="29" spans="1:39">
      <c r="A29" t="s">
        <v>19</v>
      </c>
      <c r="B29" s="28">
        <f ca="1">fbar*C29</f>
        <v>1.9443068089278964E-2</v>
      </c>
      <c r="C29" s="36">
        <f ca="1">CHOOSE(C$25,E38,E41,1)</f>
        <v>0.21474021877173294</v>
      </c>
      <c r="E29" s="42">
        <f ca="1">f3_/(F6/(365*re*phib))</f>
        <v>634.21785061702678</v>
      </c>
    </row>
    <row r="30" spans="1:39">
      <c r="A30" t="s">
        <v>95</v>
      </c>
      <c r="B30" s="28">
        <v>9.0542275687754539E-2</v>
      </c>
      <c r="C30" s="36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0.27162682706326363</v>
      </c>
      <c r="G31">
        <f ca="1">SUMPRODUCT(dlz1_,wa,ma)</f>
        <v>-19.509994924445813</v>
      </c>
      <c r="H31">
        <f ca="1">Ro/(reck-1)*phie/phif^2*dphif</f>
        <v>-6038.9961406764069</v>
      </c>
      <c r="J31" s="8" t="s">
        <v>52</v>
      </c>
      <c r="K31">
        <v>0</v>
      </c>
      <c r="L31">
        <f t="shared" ref="L31:AH31" ca="1" si="23">K31*sa-K$7*K18*K$10</f>
        <v>-5.9848621670002079E-7</v>
      </c>
      <c r="M31">
        <f t="shared" ca="1" si="23"/>
        <v>-1.819103880723217E-6</v>
      </c>
      <c r="N31">
        <f t="shared" ca="1" si="23"/>
        <v>-4.3500701410934778E-6</v>
      </c>
      <c r="O31">
        <f t="shared" ca="1" si="23"/>
        <v>-9.6607678712697638E-6</v>
      </c>
      <c r="P31">
        <f t="shared" ca="1" si="23"/>
        <v>-2.0979107680648039E-5</v>
      </c>
      <c r="Q31">
        <f t="shared" ca="1" si="23"/>
        <v>-4.5139747638390361E-5</v>
      </c>
      <c r="R31">
        <f t="shared" ca="1" si="23"/>
        <v>-9.6366249117948836E-5</v>
      </c>
      <c r="S31">
        <f t="shared" ca="1" si="23"/>
        <v>-2.0480699766026709E-4</v>
      </c>
      <c r="T31">
        <f t="shared" ca="1" si="23"/>
        <v>-4.3479727338910151E-4</v>
      </c>
      <c r="U31">
        <f t="shared" ca="1" si="23"/>
        <v>-9.2311334429732842E-4</v>
      </c>
      <c r="V31">
        <f t="shared" ca="1" si="23"/>
        <v>-1.9571342325712783E-3</v>
      </c>
      <c r="W31">
        <f t="shared" ca="1" si="23"/>
        <v>-4.1211687571712308E-3</v>
      </c>
      <c r="X31">
        <f t="shared" ca="1" si="23"/>
        <v>-8.5036844626700716E-3</v>
      </c>
      <c r="Y31">
        <f t="shared" ca="1" si="23"/>
        <v>-1.6703229250975209E-2</v>
      </c>
      <c r="Z31">
        <f t="shared" ca="1" si="23"/>
        <v>-2.9664336652874473E-2</v>
      </c>
      <c r="AA31">
        <f t="shared" ca="1" si="23"/>
        <v>-4.4847240297108626E-2</v>
      </c>
      <c r="AB31">
        <f t="shared" ca="1" si="23"/>
        <v>-5.6152592385630834E-2</v>
      </c>
      <c r="AC31">
        <f t="shared" ca="1" si="23"/>
        <v>-5.9729173259787584E-2</v>
      </c>
      <c r="AD31">
        <f t="shared" ca="1" si="23"/>
        <v>-5.6571206411371894E-2</v>
      </c>
      <c r="AE31">
        <f t="shared" ca="1" si="23"/>
        <v>-4.9611514728469086E-2</v>
      </c>
      <c r="AF31">
        <f t="shared" ca="1" si="23"/>
        <v>-4.1334094890728139E-2</v>
      </c>
      <c r="AG31">
        <f t="shared" ca="1" si="23"/>
        <v>-3.3241229546014196E-2</v>
      </c>
      <c r="AH31">
        <f t="shared" ca="1" si="23"/>
        <v>-2.6061378984821068E-2</v>
      </c>
      <c r="AI31">
        <f ca="1">(AH31*sa-AH$7*AH18*AH$10)/oa-AH$7*AH$10*flt1_*sa/oa^2</f>
        <v>-7.7551409132707874E-2</v>
      </c>
    </row>
    <row r="32" spans="1:39">
      <c r="A32" s="12" t="s">
        <v>22</v>
      </c>
      <c r="B32" s="12"/>
      <c r="C32" s="12"/>
      <c r="G32">
        <f ca="1">SUMPRODUCT(dlz2_,wa,ma)</f>
        <v>-115.71746211086329</v>
      </c>
      <c r="H32">
        <f ca="1">Ro/(reck-1)*phie/phif^2*dphif</f>
        <v>-35818.425878766437</v>
      </c>
      <c r="J32" s="8" t="s">
        <v>53</v>
      </c>
      <c r="K32">
        <v>0</v>
      </c>
      <c r="L32">
        <f t="shared" ref="L32:AH32" ca="1" si="24">K32*sa-K$7*K19*K$10</f>
        <v>-6.0036823682469128E-3</v>
      </c>
      <c r="M32">
        <f t="shared" ca="1" si="24"/>
        <v>-7.1670062508775612E-2</v>
      </c>
      <c r="N32">
        <f t="shared" ca="1" si="24"/>
        <v>-0.44534494270498293</v>
      </c>
      <c r="O32">
        <f t="shared" ca="1" si="24"/>
        <v>-0.88718632517716067</v>
      </c>
      <c r="P32">
        <f t="shared" ca="1" si="24"/>
        <v>-1.1611293757911429</v>
      </c>
      <c r="Q32">
        <f t="shared" ca="1" si="24"/>
        <v>-1.2259820721475978</v>
      </c>
      <c r="R32">
        <f t="shared" ca="1" si="24"/>
        <v>-1.2132617449016638</v>
      </c>
      <c r="S32">
        <f t="shared" ca="1" si="24"/>
        <v>-1.1558934279057616</v>
      </c>
      <c r="T32">
        <f t="shared" ca="1" si="24"/>
        <v>-1.0746154917804547</v>
      </c>
      <c r="U32">
        <f t="shared" ca="1" si="24"/>
        <v>-0.98169502707069622</v>
      </c>
      <c r="V32">
        <f t="shared" ca="1" si="24"/>
        <v>-0.88388865651236626</v>
      </c>
      <c r="W32">
        <f t="shared" ca="1" si="24"/>
        <v>-0.78373986649020932</v>
      </c>
      <c r="X32">
        <f t="shared" ca="1" si="24"/>
        <v>-0.68009608831872759</v>
      </c>
      <c r="Y32">
        <f t="shared" ca="1" si="24"/>
        <v>-0.5699301115095331</v>
      </c>
      <c r="Z32">
        <f t="shared" ca="1" si="24"/>
        <v>-0.45364285632070778</v>
      </c>
      <c r="AA32">
        <f t="shared" ca="1" si="24"/>
        <v>-0.34380705069943468</v>
      </c>
      <c r="AB32">
        <f t="shared" ca="1" si="24"/>
        <v>-0.25156313978102601</v>
      </c>
      <c r="AC32">
        <f t="shared" ca="1" si="24"/>
        <v>-0.18052104172149061</v>
      </c>
      <c r="AD32">
        <f t="shared" ca="1" si="24"/>
        <v>-0.12828496400164649</v>
      </c>
      <c r="AE32">
        <f t="shared" ca="1" si="24"/>
        <v>-9.0703113710987465E-2</v>
      </c>
      <c r="AF32">
        <f t="shared" ca="1" si="24"/>
        <v>-6.393834087192167E-2</v>
      </c>
      <c r="AG32">
        <f t="shared" ca="1" si="24"/>
        <v>-4.4976609432038364E-2</v>
      </c>
      <c r="AH32">
        <f t="shared" ca="1" si="24"/>
        <v>-3.1585182095093409E-2</v>
      </c>
      <c r="AI32">
        <f ca="1">(AH32*sa-AH$7*AH19*AH$10)/oa-AH$7*AH$10*flt2_*sa/oa^2</f>
        <v>-7.350294880261958E-2</v>
      </c>
    </row>
    <row r="33" spans="1:35">
      <c r="A33" s="61" t="s">
        <v>130</v>
      </c>
      <c r="B33" s="62">
        <f ca="1">SUMPRODUCT(lz,wa)</f>
        <v>35.413638528572733</v>
      </c>
      <c r="C33" s="61"/>
      <c r="D33" s="63"/>
      <c r="E33" s="63"/>
      <c r="G33">
        <f ca="1">SUMPRODUCT(dlz3_,wa,ma)</f>
        <v>-102.21704854398173</v>
      </c>
      <c r="H33">
        <f ca="1">Ro/(reck-1)*phie/phif^2*dphif</f>
        <v>-31639.596220242114</v>
      </c>
      <c r="J33" s="8" t="s">
        <v>54</v>
      </c>
      <c r="K33">
        <v>0</v>
      </c>
      <c r="L33">
        <f t="shared" ref="L33:AH33" ca="1" si="25">K33*sa-K$7*K20*K$10</f>
        <v>-5.5306196333345249E-4</v>
      </c>
      <c r="M33">
        <f t="shared" ca="1" si="25"/>
        <v>-2.1681856787439551E-3</v>
      </c>
      <c r="N33">
        <f t="shared" ca="1" si="25"/>
        <v>-6.9361097078051116E-3</v>
      </c>
      <c r="O33">
        <f t="shared" ca="1" si="25"/>
        <v>-2.0910745876145154E-2</v>
      </c>
      <c r="P33">
        <f t="shared" ca="1" si="25"/>
        <v>-6.0680618581117896E-2</v>
      </c>
      <c r="Q33">
        <f t="shared" ca="1" si="25"/>
        <v>-6.2716418593579931E-2</v>
      </c>
      <c r="R33">
        <f t="shared" ca="1" si="25"/>
        <v>-0.20991669162248006</v>
      </c>
      <c r="S33">
        <f t="shared" ca="1" si="25"/>
        <v>-0.41018604266926095</v>
      </c>
      <c r="T33">
        <f t="shared" ca="1" si="25"/>
        <v>-0.54857867765707091</v>
      </c>
      <c r="U33">
        <f t="shared" ca="1" si="25"/>
        <v>-0.61883234054601943</v>
      </c>
      <c r="V33">
        <f t="shared" ca="1" si="25"/>
        <v>-0.63794345729284041</v>
      </c>
      <c r="W33">
        <f t="shared" ca="1" si="25"/>
        <v>-0.62106048891564847</v>
      </c>
      <c r="X33">
        <f t="shared" ca="1" si="25"/>
        <v>-0.57695727798005414</v>
      </c>
      <c r="Y33">
        <f t="shared" ca="1" si="25"/>
        <v>-0.50938045106999241</v>
      </c>
      <c r="Z33">
        <f t="shared" ca="1" si="25"/>
        <v>-0.42261593886902632</v>
      </c>
      <c r="AA33">
        <f t="shared" ca="1" si="25"/>
        <v>-0.33271263346469299</v>
      </c>
      <c r="AB33">
        <f t="shared" ca="1" si="25"/>
        <v>-0.2519997638180026</v>
      </c>
      <c r="AC33">
        <f t="shared" ca="1" si="25"/>
        <v>-0.18652963202134251</v>
      </c>
      <c r="AD33">
        <f t="shared" ca="1" si="25"/>
        <v>-0.13628341197848087</v>
      </c>
      <c r="AE33">
        <f t="shared" ca="1" si="25"/>
        <v>-9.8783707215243613E-2</v>
      </c>
      <c r="AF33">
        <f t="shared" ca="1" si="25"/>
        <v>-7.1209623881053216E-2</v>
      </c>
      <c r="AG33">
        <f t="shared" ca="1" si="25"/>
        <v>-5.1114806826933201E-2</v>
      </c>
      <c r="AH33">
        <f t="shared" ca="1" si="25"/>
        <v>-3.6561292832894228E-2</v>
      </c>
      <c r="AI33">
        <f ca="1">(AH33*sa-AH$7*AH20*AH$10)/oa-AH$7*AH$10*flt3_*sa/oa^2</f>
        <v>-8.9215997868592495E-2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17.137594381884185</v>
      </c>
      <c r="F35" s="37"/>
      <c r="G35" s="1">
        <f ca="1">SUM(dqa11_)</f>
        <v>285.7691607647003</v>
      </c>
      <c r="H35" s="1">
        <f ca="1">SUM(dqa12_)</f>
        <v>286.90731207901035</v>
      </c>
      <c r="I35" s="11">
        <f ca="1">SUM(dqa13_)</f>
        <v>286.22964017179328</v>
      </c>
      <c r="J35" s="8" t="s">
        <v>62</v>
      </c>
      <c r="K35">
        <f ca="1">flt1_*qa1_+lz*wa*flt1_^2/za*(sa-oa/za)</f>
        <v>1.1785000509332334E-14</v>
      </c>
      <c r="L35">
        <f t="shared" ref="L35:AI35" ca="1" si="26">flt1_*qa1_+lz*wa*flt1_^2/za*(sa-oa/za)</f>
        <v>5.0043186503140409E-13</v>
      </c>
      <c r="M35">
        <f t="shared" ca="1" si="26"/>
        <v>1.0001839643151169E-11</v>
      </c>
      <c r="N35">
        <f t="shared" ca="1" si="26"/>
        <v>1.4425134847412596E-10</v>
      </c>
      <c r="O35">
        <f t="shared" ca="1" si="26"/>
        <v>1.7275653103795759E-9</v>
      </c>
      <c r="P35">
        <f t="shared" ca="1" si="26"/>
        <v>1.8276380227658478E-8</v>
      </c>
      <c r="Q35">
        <f t="shared" ca="1" si="26"/>
        <v>1.750471720150975E-7</v>
      </c>
      <c r="R35">
        <f t="shared" ca="1" si="26"/>
        <v>1.5725655260932502E-6</v>
      </c>
      <c r="S35">
        <f t="shared" ca="1" si="26"/>
        <v>1.3471774790125045E-5</v>
      </c>
      <c r="T35">
        <f t="shared" ca="1" si="26"/>
        <v>1.1070752049542182E-4</v>
      </c>
      <c r="U35">
        <f t="shared" ca="1" si="26"/>
        <v>8.7535888615593099E-4</v>
      </c>
      <c r="V35">
        <f t="shared" ca="1" si="26"/>
        <v>6.6330832095316764E-3</v>
      </c>
      <c r="W35">
        <f t="shared" ca="1" si="26"/>
        <v>4.7248240446515315E-2</v>
      </c>
      <c r="X35">
        <f t="shared" ca="1" si="26"/>
        <v>0.3006890432934648</v>
      </c>
      <c r="Y35">
        <f t="shared" ca="1" si="26"/>
        <v>1.5426116234209235</v>
      </c>
      <c r="Z35">
        <f t="shared" ca="1" si="26"/>
        <v>5.5347037189317634</v>
      </c>
      <c r="AA35">
        <f t="shared" ca="1" si="26"/>
        <v>12.840758320818672</v>
      </c>
      <c r="AB35">
        <f t="shared" ca="1" si="26"/>
        <v>20.643468778855244</v>
      </c>
      <c r="AC35">
        <f t="shared" ca="1" si="26"/>
        <v>26.557331312336579</v>
      </c>
      <c r="AD35">
        <f t="shared" ca="1" si="26"/>
        <v>30.585862844431414</v>
      </c>
      <c r="AE35">
        <f t="shared" ca="1" si="26"/>
        <v>33.477161065046211</v>
      </c>
      <c r="AF35">
        <f t="shared" ca="1" si="26"/>
        <v>35.775784999425575</v>
      </c>
      <c r="AG35">
        <f t="shared" ca="1" si="26"/>
        <v>37.761224298308989</v>
      </c>
      <c r="AH35">
        <f t="shared" ca="1" si="26"/>
        <v>39.561038299088807</v>
      </c>
      <c r="AI35">
        <f t="shared" ca="1" si="26"/>
        <v>41.133643831133739</v>
      </c>
    </row>
    <row r="36" spans="1:35">
      <c r="A36" t="s">
        <v>33</v>
      </c>
      <c r="B36" s="1">
        <f ca="1">SUMPRODUCT(lz,ta1_)</f>
        <v>0.18550030825567754</v>
      </c>
      <c r="C36" s="29">
        <f ca="1">B11/(phi_t1/SUM(B$36:B$38))</f>
        <v>6.4622941018092552</v>
      </c>
      <c r="E36" s="38">
        <f ca="1">C36/AVERAGE(C$36:C$38)</f>
        <v>2.4616110567393714</v>
      </c>
      <c r="G36" s="1">
        <f ca="1">SUM(dqa21_)</f>
        <v>286.90731207901035</v>
      </c>
      <c r="H36" s="1">
        <f ca="1">SUM(dqa22_)</f>
        <v>62.218319847354877</v>
      </c>
      <c r="I36" s="11">
        <f ca="1">SUM(dqa23_)</f>
        <v>283.53774687648342</v>
      </c>
      <c r="J36" s="8" t="s">
        <v>63</v>
      </c>
      <c r="K36">
        <f t="shared" ref="K36:AI36" ca="1" si="27">flt2_*qa2_+lz*wa*flt2_^2/za*(sa-oa/za)</f>
        <v>1.1859236075275924E-6</v>
      </c>
      <c r="L36">
        <f t="shared" ca="1" si="27"/>
        <v>1.2853741839563976E-3</v>
      </c>
      <c r="M36">
        <f t="shared" ca="1" si="27"/>
        <v>0.18513002911077403</v>
      </c>
      <c r="N36">
        <f t="shared" ca="1" si="27"/>
        <v>1.0546902392045405</v>
      </c>
      <c r="O36">
        <f t="shared" ca="1" si="27"/>
        <v>1.8017256693966073</v>
      </c>
      <c r="P36">
        <f t="shared" ca="1" si="27"/>
        <v>1.5823647892662422</v>
      </c>
      <c r="Q36">
        <f t="shared" ca="1" si="27"/>
        <v>1.9534483020907556</v>
      </c>
      <c r="R36">
        <f t="shared" ca="1" si="27"/>
        <v>2.2618260916827326</v>
      </c>
      <c r="S36">
        <f t="shared" ca="1" si="27"/>
        <v>2.4996264203478695</v>
      </c>
      <c r="T36">
        <f t="shared" ca="1" si="27"/>
        <v>2.656250196652989</v>
      </c>
      <c r="U36">
        <f t="shared" ca="1" si="27"/>
        <v>2.7325743480431348</v>
      </c>
      <c r="V36">
        <f t="shared" ca="1" si="27"/>
        <v>2.7358562455058961</v>
      </c>
      <c r="W36">
        <f t="shared" ca="1" si="27"/>
        <v>2.6751866870135474</v>
      </c>
      <c r="X36">
        <f t="shared" ca="1" si="27"/>
        <v>2.5584398895050868</v>
      </c>
      <c r="Y36">
        <f t="shared" ca="1" si="27"/>
        <v>2.3928268842720239</v>
      </c>
      <c r="Z36">
        <f t="shared" ca="1" si="27"/>
        <v>2.6025688384778141</v>
      </c>
      <c r="AA36">
        <f t="shared" ca="1" si="27"/>
        <v>2.798073965647117</v>
      </c>
      <c r="AB36">
        <f t="shared" ca="1" si="27"/>
        <v>2.9993684858714076</v>
      </c>
      <c r="AC36">
        <f t="shared" ca="1" si="27"/>
        <v>3.2103436580005744</v>
      </c>
      <c r="AD36">
        <f t="shared" ca="1" si="27"/>
        <v>3.4240034159960175</v>
      </c>
      <c r="AE36">
        <f t="shared" ca="1" si="27"/>
        <v>3.6338288300834565</v>
      </c>
      <c r="AF36">
        <f t="shared" ca="1" si="27"/>
        <v>3.8363028324182453</v>
      </c>
      <c r="AG36">
        <f t="shared" ca="1" si="27"/>
        <v>4.0299157488185235</v>
      </c>
      <c r="AH36">
        <f t="shared" ca="1" si="27"/>
        <v>4.2141505347231485</v>
      </c>
      <c r="AI36">
        <f t="shared" ca="1" si="27"/>
        <v>4.3785311851187956</v>
      </c>
    </row>
    <row r="37" spans="1:35">
      <c r="A37" t="s">
        <v>34</v>
      </c>
      <c r="B37" s="1">
        <f ca="1">SUMPRODUCT(lz,ta2_)</f>
        <v>2.6927850356495848</v>
      </c>
      <c r="C37" s="29">
        <f ca="1">B12/(phi_t2/SUM(B$36:B$38))</f>
        <v>0.8651510952608874</v>
      </c>
      <c r="E37" s="38">
        <f ca="1">C37/AVERAGE(C$36:C$38)</f>
        <v>0.329552550269746</v>
      </c>
      <c r="G37" s="1">
        <f ca="1">SUM(dqa31_)</f>
        <v>286.22964017179328</v>
      </c>
      <c r="H37" s="1">
        <f ca="1">SUM(dqa32_)</f>
        <v>283.53774687648342</v>
      </c>
      <c r="I37" s="1">
        <f ca="1">SUM(dqa33_)</f>
        <v>168.05110218264136</v>
      </c>
      <c r="J37" s="8" t="s">
        <v>64</v>
      </c>
      <c r="K37">
        <f t="shared" ref="K37:AI37" ca="1" si="28">flt3_*qa3_+lz*wa*flt3_^2/za*(sa-oa/za)</f>
        <v>1.006395953284495E-8</v>
      </c>
      <c r="L37">
        <f t="shared" ca="1" si="28"/>
        <v>8.3894945119463626E-7</v>
      </c>
      <c r="M37">
        <f t="shared" ca="1" si="28"/>
        <v>3.2757577927999902E-5</v>
      </c>
      <c r="N37">
        <f t="shared" ca="1" si="28"/>
        <v>9.0632260318663648E-4</v>
      </c>
      <c r="O37">
        <f t="shared" ca="1" si="28"/>
        <v>1.9414672070819396E-2</v>
      </c>
      <c r="P37">
        <f t="shared" ca="1" si="28"/>
        <v>3.4949454155067E-3</v>
      </c>
      <c r="Q37">
        <f t="shared" ca="1" si="28"/>
        <v>1.2564894762537593</v>
      </c>
      <c r="R37">
        <f t="shared" ca="1" si="28"/>
        <v>5.6202307097566964</v>
      </c>
      <c r="S37">
        <f t="shared" ca="1" si="28"/>
        <v>8.3000336838710034</v>
      </c>
      <c r="T37">
        <f t="shared" ca="1" si="28"/>
        <v>9.2354231880626898</v>
      </c>
      <c r="U37">
        <f t="shared" ca="1" si="28"/>
        <v>9.319149093479048</v>
      </c>
      <c r="V37">
        <f t="shared" ca="1" si="28"/>
        <v>8.9994987800871638</v>
      </c>
      <c r="W37">
        <f t="shared" ca="1" si="28"/>
        <v>8.4519687795641083</v>
      </c>
      <c r="X37">
        <f t="shared" ca="1" si="28"/>
        <v>7.755237931893765</v>
      </c>
      <c r="Y37">
        <f t="shared" ca="1" si="28"/>
        <v>6.9571486261027431</v>
      </c>
      <c r="Z37">
        <f t="shared" ca="1" si="28"/>
        <v>7.5669737489021536</v>
      </c>
      <c r="AA37">
        <f t="shared" ca="1" si="28"/>
        <v>8.1354052705564079</v>
      </c>
      <c r="AB37">
        <f t="shared" ca="1" si="28"/>
        <v>8.7206694633091129</v>
      </c>
      <c r="AC37">
        <f t="shared" ca="1" si="28"/>
        <v>9.3340801695193836</v>
      </c>
      <c r="AD37">
        <f t="shared" ca="1" si="28"/>
        <v>9.9552963141397548</v>
      </c>
      <c r="AE37">
        <f t="shared" ca="1" si="28"/>
        <v>10.565364096700621</v>
      </c>
      <c r="AF37">
        <f t="shared" ca="1" si="28"/>
        <v>11.154057635888082</v>
      </c>
      <c r="AG37">
        <f t="shared" ca="1" si="28"/>
        <v>11.716987551204436</v>
      </c>
      <c r="AH37">
        <f t="shared" ca="1" si="28"/>
        <v>12.25265053462442</v>
      </c>
      <c r="AI37">
        <f t="shared" ca="1" si="28"/>
        <v>12.730587582045166</v>
      </c>
    </row>
    <row r="38" spans="1:35">
      <c r="A38" t="s">
        <v>35</v>
      </c>
      <c r="B38" s="1">
        <f ca="1">SUMPRODUCT(lz,ta3_)</f>
        <v>1.4391338820138651</v>
      </c>
      <c r="C38" s="29">
        <f ca="1">B13/(phi_t3/SUM(B$36:B$38))</f>
        <v>0.54824347127190842</v>
      </c>
      <c r="E38" s="38">
        <f ca="1">C38/AVERAGE(C$36:C$38)</f>
        <v>0.20883639299088311</v>
      </c>
      <c r="G38" t="s">
        <v>69</v>
      </c>
      <c r="J38" s="8" t="s">
        <v>60</v>
      </c>
      <c r="K38">
        <f t="shared" ref="K38:AI38" ca="1" si="29">flt1_*qa1_+lz*wa*flt2_*flt1_/za*(sa-oa/za)</f>
        <v>-1.1242397709848376E-10</v>
      </c>
      <c r="L38">
        <f t="shared" ca="1" si="29"/>
        <v>-1.831132805084934E-8</v>
      </c>
      <c r="M38">
        <f t="shared" ca="1" si="29"/>
        <v>-7.6133339726672934E-7</v>
      </c>
      <c r="N38">
        <f t="shared" ca="1" si="29"/>
        <v>-5.336911652024342E-6</v>
      </c>
      <c r="O38">
        <f t="shared" ca="1" si="29"/>
        <v>-1.8754617139949909E-5</v>
      </c>
      <c r="P38">
        <f t="shared" ca="1" si="29"/>
        <v>-4.515719469280705E-5</v>
      </c>
      <c r="Q38">
        <f t="shared" ca="1" si="29"/>
        <v>-1.2491028710197961E-4</v>
      </c>
      <c r="R38">
        <f t="shared" ca="1" si="29"/>
        <v>-3.2292732334983018E-4</v>
      </c>
      <c r="S38">
        <f t="shared" ca="1" si="29"/>
        <v>-7.8943513256949976E-4</v>
      </c>
      <c r="T38">
        <f t="shared" ca="1" si="29"/>
        <v>-1.8041823353060799E-3</v>
      </c>
      <c r="U38">
        <f t="shared" ca="1" si="29"/>
        <v>-3.5291816808151561E-3</v>
      </c>
      <c r="V38">
        <f t="shared" ca="1" si="29"/>
        <v>-2.9985501473822444E-3</v>
      </c>
      <c r="W38">
        <f t="shared" ca="1" si="29"/>
        <v>2.8197407261281577E-2</v>
      </c>
      <c r="X38">
        <f t="shared" ca="1" si="29"/>
        <v>0.27152646187844715</v>
      </c>
      <c r="Y38">
        <f t="shared" ca="1" si="29"/>
        <v>1.5271541636629966</v>
      </c>
      <c r="Z38">
        <f t="shared" ca="1" si="29"/>
        <v>5.5902450244047834</v>
      </c>
      <c r="AA38">
        <f t="shared" ca="1" si="29"/>
        <v>13.003951564356997</v>
      </c>
      <c r="AB38">
        <f t="shared" ca="1" si="29"/>
        <v>20.86066931784195</v>
      </c>
      <c r="AC38">
        <f t="shared" ca="1" si="29"/>
        <v>26.761200450475886</v>
      </c>
      <c r="AD38">
        <f t="shared" ca="1" si="29"/>
        <v>30.749184297122348</v>
      </c>
      <c r="AE38">
        <f t="shared" ca="1" si="29"/>
        <v>33.599248536626163</v>
      </c>
      <c r="AF38">
        <f t="shared" ca="1" si="29"/>
        <v>35.864283573954467</v>
      </c>
      <c r="AG38">
        <f t="shared" ca="1" si="29"/>
        <v>37.824430008022077</v>
      </c>
      <c r="AH38">
        <f t="shared" ca="1" si="29"/>
        <v>39.605809296584965</v>
      </c>
      <c r="AI38">
        <f t="shared" ca="1" si="29"/>
        <v>41.231051192205094</v>
      </c>
    </row>
    <row r="39" spans="1:35">
      <c r="A39" s="1" t="s">
        <v>36</v>
      </c>
      <c r="B39" s="1">
        <f ca="1">SUMPRODUCT(lz,qa1_)</f>
        <v>6.1122543488962506</v>
      </c>
      <c r="C39" s="23">
        <f ca="1">B4/(phi_q1/SUM(B$39:B$41))</f>
        <v>4.0815336481522451</v>
      </c>
      <c r="D39" s="21"/>
      <c r="E39" s="39">
        <f ca="1">C39/AVERAGE(C$39:C$41)</f>
        <v>2.4301258521347</v>
      </c>
      <c r="G39" s="1">
        <f ca="1">re*phi_q1+f1_*phi_q1*$H31+f1_*re*G35</f>
        <v>1382554.0938899994</v>
      </c>
      <c r="H39" s="1">
        <f ca="1">re*phi_q1+f1_*phi_q1*$H32+f1_*re*H35</f>
        <v>1347552.5357026574</v>
      </c>
      <c r="I39" s="1">
        <f ca="1">re*phi_q1+f1_*phi_q1*$H33+f1_*re*I35</f>
        <v>1350166.869047296</v>
      </c>
      <c r="J39" s="8" t="s">
        <v>66</v>
      </c>
      <c r="K39">
        <f t="shared" ref="K39:AI39" ca="1" si="30">flt1_*qa1_+lz*wa*flt3_*flt1_/za*(sa-oa/za)</f>
        <v>-1.0335671956976016E-11</v>
      </c>
      <c r="L39">
        <f t="shared" ca="1" si="30"/>
        <v>-4.6697397822744877E-10</v>
      </c>
      <c r="M39">
        <f t="shared" ca="1" si="30"/>
        <v>-1.0111878364705456E-8</v>
      </c>
      <c r="N39">
        <f t="shared" ca="1" si="30"/>
        <v>-1.5624700797596516E-7</v>
      </c>
      <c r="O39">
        <f t="shared" ca="1" si="30"/>
        <v>-1.9447651442122374E-6</v>
      </c>
      <c r="P39">
        <f t="shared" ca="1" si="30"/>
        <v>-2.1001919969173371E-6</v>
      </c>
      <c r="Q39">
        <f t="shared" ca="1" si="30"/>
        <v>-1.0013692175594573E-4</v>
      </c>
      <c r="R39">
        <f t="shared" ca="1" si="30"/>
        <v>-5.1010279991280105E-4</v>
      </c>
      <c r="S39">
        <f t="shared" ca="1" si="30"/>
        <v>-1.4511426989951932E-3</v>
      </c>
      <c r="T39">
        <f t="shared" ca="1" si="30"/>
        <v>-3.4706220734061805E-3</v>
      </c>
      <c r="U39">
        <f t="shared" ca="1" si="30"/>
        <v>-7.3265808206620688E-3</v>
      </c>
      <c r="V39">
        <f t="shared" ca="1" si="30"/>
        <v>-1.1241572316004592E-2</v>
      </c>
      <c r="W39">
        <f t="shared" ca="1" si="30"/>
        <v>1.1115902069305274E-2</v>
      </c>
      <c r="X39">
        <f t="shared" ca="1" si="30"/>
        <v>0.23864215142978729</v>
      </c>
      <c r="Y39">
        <f t="shared" ca="1" si="30"/>
        <v>1.4718481462026334</v>
      </c>
      <c r="Z39">
        <f t="shared" ca="1" si="30"/>
        <v>5.5047887368003359</v>
      </c>
      <c r="AA39">
        <f t="shared" ca="1" si="30"/>
        <v>12.903206325505723</v>
      </c>
      <c r="AB39">
        <f t="shared" ca="1" si="30"/>
        <v>20.766330297985267</v>
      </c>
      <c r="AC39">
        <f t="shared" ca="1" si="30"/>
        <v>26.684578776508612</v>
      </c>
      <c r="AD39">
        <f t="shared" ca="1" si="30"/>
        <v>30.691277071883491</v>
      </c>
      <c r="AE39">
        <f t="shared" ca="1" si="30"/>
        <v>33.556949336842727</v>
      </c>
      <c r="AF39">
        <f t="shared" ca="1" si="30"/>
        <v>35.833898729748782</v>
      </c>
      <c r="AG39">
        <f t="shared" ca="1" si="30"/>
        <v>37.802806001463274</v>
      </c>
      <c r="AH39">
        <f t="shared" ca="1" si="30"/>
        <v>39.590513324275243</v>
      </c>
      <c r="AI39">
        <f t="shared" ca="1" si="30"/>
        <v>41.197789740502195</v>
      </c>
    </row>
    <row r="40" spans="1:35">
      <c r="A40" s="1" t="s">
        <v>37</v>
      </c>
      <c r="B40" s="1">
        <f ca="1">SUMPRODUCT(lz,qa2_)</f>
        <v>15.598419748215193</v>
      </c>
      <c r="C40" s="23">
        <f ca="1">B5/(phi_q2/SUM(B$39:B$41))</f>
        <v>0.59646749567419644</v>
      </c>
      <c r="D40" s="21"/>
      <c r="E40" s="39">
        <f ca="1">C40/AVERAGE(C$39:C$41)</f>
        <v>0.355133929093567</v>
      </c>
      <c r="G40" s="1">
        <f ca="1">re*phi_q1+f1_*phi_q1*$H32+f1_*re*G36</f>
        <v>1347552.5357026574</v>
      </c>
      <c r="H40" s="1">
        <f ca="1">re*phi_q2+f2_*phi_q2*$H32+f2_*re*H36</f>
        <v>336790.82581895852</v>
      </c>
      <c r="I40" s="1">
        <f ca="1">re*phi_q3+f3_*phi_q3*$H33+f3_*re*I36</f>
        <v>494457.85510086222</v>
      </c>
      <c r="J40" s="8" t="s">
        <v>65</v>
      </c>
      <c r="K40">
        <f t="shared" ref="K40:AI40" ca="1" si="31">flt1_*qa1_+lz*wa*flt1_*flt2_/za*(sa-oa/za)</f>
        <v>-1.1242397709848372E-10</v>
      </c>
      <c r="L40">
        <f t="shared" ca="1" si="31"/>
        <v>-1.831132805084934E-8</v>
      </c>
      <c r="M40">
        <f t="shared" ca="1" si="31"/>
        <v>-7.6133339726672955E-7</v>
      </c>
      <c r="N40">
        <f t="shared" ca="1" si="31"/>
        <v>-5.336911652024342E-6</v>
      </c>
      <c r="O40">
        <f t="shared" ca="1" si="31"/>
        <v>-1.8754617139949912E-5</v>
      </c>
      <c r="P40">
        <f t="shared" ca="1" si="31"/>
        <v>-4.5157194692807057E-5</v>
      </c>
      <c r="Q40">
        <f t="shared" ca="1" si="31"/>
        <v>-1.2491028710197961E-4</v>
      </c>
      <c r="R40">
        <f t="shared" ca="1" si="31"/>
        <v>-3.2292732334983018E-4</v>
      </c>
      <c r="S40">
        <f t="shared" ca="1" si="31"/>
        <v>-7.8943513256949966E-4</v>
      </c>
      <c r="T40">
        <f t="shared" ca="1" si="31"/>
        <v>-1.8041823353060801E-3</v>
      </c>
      <c r="U40">
        <f t="shared" ca="1" si="31"/>
        <v>-3.529181680815157E-3</v>
      </c>
      <c r="V40">
        <f t="shared" ca="1" si="31"/>
        <v>-2.9985501473822444E-3</v>
      </c>
      <c r="W40">
        <f t="shared" ca="1" si="31"/>
        <v>2.8197407261281584E-2</v>
      </c>
      <c r="X40">
        <f t="shared" ca="1" si="31"/>
        <v>0.27152646187844715</v>
      </c>
      <c r="Y40">
        <f t="shared" ca="1" si="31"/>
        <v>1.5271541636629966</v>
      </c>
      <c r="Z40">
        <f t="shared" ca="1" si="31"/>
        <v>5.5902450244047834</v>
      </c>
      <c r="AA40">
        <f t="shared" ca="1" si="31"/>
        <v>13.003951564356997</v>
      </c>
      <c r="AB40">
        <f t="shared" ca="1" si="31"/>
        <v>20.86066931784195</v>
      </c>
      <c r="AC40">
        <f t="shared" ca="1" si="31"/>
        <v>26.761200450475886</v>
      </c>
      <c r="AD40">
        <f t="shared" ca="1" si="31"/>
        <v>30.749184297122348</v>
      </c>
      <c r="AE40">
        <f t="shared" ca="1" si="31"/>
        <v>33.599248536626163</v>
      </c>
      <c r="AF40">
        <f t="shared" ca="1" si="31"/>
        <v>35.864283573954467</v>
      </c>
      <c r="AG40">
        <f t="shared" ca="1" si="31"/>
        <v>37.824430008022077</v>
      </c>
      <c r="AH40">
        <f t="shared" ca="1" si="31"/>
        <v>39.605809296584965</v>
      </c>
      <c r="AI40">
        <f t="shared" ca="1" si="31"/>
        <v>41.231051192205094</v>
      </c>
    </row>
    <row r="41" spans="1:35">
      <c r="A41" s="1" t="s">
        <v>38</v>
      </c>
      <c r="B41" s="1">
        <f ca="1">SUMPRODUCT(lz,qa3_)</f>
        <v>19.615246063682054</v>
      </c>
      <c r="C41" s="23">
        <f ca="1">B6/(phi_q3/SUM(B$39:B$41))</f>
        <v>0.36066832825077083</v>
      </c>
      <c r="D41" s="21"/>
      <c r="E41" s="39">
        <f ca="1">C41/AVERAGE(C$39:C$41)</f>
        <v>0.21474021877173291</v>
      </c>
      <c r="G41" s="1">
        <f ca="1">re*phi_q1+f1_*phi_q1*$H33+f1_*re*G37</f>
        <v>1350166.869047296</v>
      </c>
      <c r="H41" s="1">
        <f ca="1">re*phi_q3+f3_*phi_q3*$H33+f3_*re*H37</f>
        <v>494457.85510086216</v>
      </c>
      <c r="I41" s="1">
        <f ca="1">re*phi_q3+f1_*phi_q3*$H33+f3_*re*I37</f>
        <v>324708.04082863114</v>
      </c>
      <c r="J41" s="8" t="s">
        <v>67</v>
      </c>
      <c r="K41">
        <f t="shared" ref="K41:AI41" ca="1" si="32">flt1_*qa1_+lz*wa*flt3_*flt2_/za*(sa-oa/za)</f>
        <v>-1.0391238320487543E-7</v>
      </c>
      <c r="L41">
        <f t="shared" ca="1" si="32"/>
        <v>-2.3710225517032998E-5</v>
      </c>
      <c r="M41">
        <f t="shared" ca="1" si="32"/>
        <v>-1.3778429605711181E-3</v>
      </c>
      <c r="N41">
        <f t="shared" ca="1" si="32"/>
        <v>-1.3377910588152802E-2</v>
      </c>
      <c r="O41">
        <f t="shared" ca="1" si="32"/>
        <v>-6.2879550747959201E-2</v>
      </c>
      <c r="P41">
        <f t="shared" ca="1" si="32"/>
        <v>-1.9757134862463929E-2</v>
      </c>
      <c r="Q41">
        <f t="shared" ca="1" si="32"/>
        <v>-0.33522625181341542</v>
      </c>
      <c r="R41">
        <f t="shared" ca="1" si="32"/>
        <v>-0.61397151332290911</v>
      </c>
      <c r="S41">
        <f t="shared" ca="1" si="32"/>
        <v>-0.6316719164200616</v>
      </c>
      <c r="T41">
        <f t="shared" ca="1" si="32"/>
        <v>-0.55654512379928078</v>
      </c>
      <c r="U41">
        <f t="shared" ca="1" si="32"/>
        <v>-0.46178658888585461</v>
      </c>
      <c r="V41">
        <f t="shared" ca="1" si="32"/>
        <v>-0.36601524234761501</v>
      </c>
      <c r="W41">
        <f t="shared" ca="1" si="32"/>
        <v>-0.24368449264295589</v>
      </c>
      <c r="X41">
        <f t="shared" ca="1" si="32"/>
        <v>9.0538854692959442E-2</v>
      </c>
      <c r="Y41">
        <f t="shared" ca="1" si="32"/>
        <v>1.439021579288196</v>
      </c>
      <c r="Z41">
        <f t="shared" ca="1" si="32"/>
        <v>5.5697313871375922</v>
      </c>
      <c r="AA41">
        <f t="shared" ca="1" si="32"/>
        <v>13.033102521960444</v>
      </c>
      <c r="AB41">
        <f t="shared" ca="1" si="32"/>
        <v>20.907500967427122</v>
      </c>
      <c r="AC41">
        <f t="shared" ca="1" si="32"/>
        <v>26.805442239761501</v>
      </c>
      <c r="AD41">
        <f t="shared" ca="1" si="32"/>
        <v>30.784454337478518</v>
      </c>
      <c r="AE41">
        <f t="shared" ca="1" si="32"/>
        <v>33.625535897102473</v>
      </c>
      <c r="AF41">
        <f t="shared" ca="1" si="32"/>
        <v>35.883313653734504</v>
      </c>
      <c r="AG41">
        <f t="shared" ca="1" si="32"/>
        <v>37.838013993974066</v>
      </c>
      <c r="AH41">
        <f t="shared" ca="1" si="32"/>
        <v>39.615429303112947</v>
      </c>
      <c r="AI41">
        <f t="shared" ca="1" si="32"/>
        <v>41.251979523342229</v>
      </c>
    </row>
    <row r="42" spans="1:35">
      <c r="A42" s="1" t="s">
        <v>96</v>
      </c>
      <c r="B42" s="1">
        <f ca="1">SUMPRODUCT(lz/SUM(lz),len,ta1_)</f>
        <v>4.4644369117528289</v>
      </c>
      <c r="J42" s="8" t="s">
        <v>68</v>
      </c>
      <c r="K42">
        <f t="shared" ref="K42:AI42" ca="1" si="33">flt1_*qa1_+lz*wa*flt1_*flt3_/za*(sa-oa/za)</f>
        <v>-1.0335671956976016E-11</v>
      </c>
      <c r="L42">
        <f t="shared" ca="1" si="33"/>
        <v>-4.6697397822744877E-10</v>
      </c>
      <c r="M42">
        <f t="shared" ca="1" si="33"/>
        <v>-1.0111878364705456E-8</v>
      </c>
      <c r="N42">
        <f t="shared" ca="1" si="33"/>
        <v>-1.5624700797596516E-7</v>
      </c>
      <c r="O42">
        <f t="shared" ca="1" si="33"/>
        <v>-1.9447651442122374E-6</v>
      </c>
      <c r="P42">
        <f t="shared" ca="1" si="33"/>
        <v>-2.1001919969173371E-6</v>
      </c>
      <c r="Q42">
        <f t="shared" ca="1" si="33"/>
        <v>-1.0013692175594573E-4</v>
      </c>
      <c r="R42">
        <f t="shared" ca="1" si="33"/>
        <v>-5.1010279991280105E-4</v>
      </c>
      <c r="S42">
        <f t="shared" ca="1" si="33"/>
        <v>-1.4511426989951932E-3</v>
      </c>
      <c r="T42">
        <f t="shared" ca="1" si="33"/>
        <v>-3.4706220734061809E-3</v>
      </c>
      <c r="U42">
        <f t="shared" ca="1" si="33"/>
        <v>-7.3265808206620688E-3</v>
      </c>
      <c r="V42">
        <f t="shared" ca="1" si="33"/>
        <v>-1.1241572316004592E-2</v>
      </c>
      <c r="W42">
        <f t="shared" ca="1" si="33"/>
        <v>1.1115902069305281E-2</v>
      </c>
      <c r="X42">
        <f t="shared" ca="1" si="33"/>
        <v>0.23864215142978729</v>
      </c>
      <c r="Y42">
        <f t="shared" ca="1" si="33"/>
        <v>1.4718481462026334</v>
      </c>
      <c r="Z42">
        <f t="shared" ca="1" si="33"/>
        <v>5.5047887368003359</v>
      </c>
      <c r="AA42">
        <f t="shared" ca="1" si="33"/>
        <v>12.903206325505723</v>
      </c>
      <c r="AB42">
        <f t="shared" ca="1" si="33"/>
        <v>20.766330297985267</v>
      </c>
      <c r="AC42">
        <f t="shared" ca="1" si="33"/>
        <v>26.684578776508612</v>
      </c>
      <c r="AD42">
        <f t="shared" ca="1" si="33"/>
        <v>30.691277071883491</v>
      </c>
      <c r="AE42">
        <f t="shared" ca="1" si="33"/>
        <v>33.556949336842727</v>
      </c>
      <c r="AF42">
        <f t="shared" ca="1" si="33"/>
        <v>35.833898729748782</v>
      </c>
      <c r="AG42">
        <f t="shared" ca="1" si="33"/>
        <v>37.802806001463274</v>
      </c>
      <c r="AH42">
        <f t="shared" ca="1" si="33"/>
        <v>39.590513324275243</v>
      </c>
      <c r="AI42">
        <f t="shared" ca="1" si="33"/>
        <v>41.197789740502195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-1.0391238320487543E-7</v>
      </c>
      <c r="L43">
        <f t="shared" ca="1" si="34"/>
        <v>-2.3710225517032998E-5</v>
      </c>
      <c r="M43">
        <f t="shared" ca="1" si="34"/>
        <v>-1.3778429605711181E-3</v>
      </c>
      <c r="N43">
        <f t="shared" ca="1" si="34"/>
        <v>-1.3377910588152802E-2</v>
      </c>
      <c r="O43">
        <f t="shared" ca="1" si="34"/>
        <v>-6.2879550747959187E-2</v>
      </c>
      <c r="P43">
        <f t="shared" ca="1" si="34"/>
        <v>-1.9757134862463929E-2</v>
      </c>
      <c r="Q43">
        <f t="shared" ca="1" si="34"/>
        <v>-0.33522625181341537</v>
      </c>
      <c r="R43">
        <f t="shared" ca="1" si="34"/>
        <v>-0.61397151332290911</v>
      </c>
      <c r="S43">
        <f t="shared" ca="1" si="34"/>
        <v>-0.6316719164200616</v>
      </c>
      <c r="T43">
        <f t="shared" ca="1" si="34"/>
        <v>-0.55654512379928078</v>
      </c>
      <c r="U43">
        <f t="shared" ca="1" si="34"/>
        <v>-0.46178658888585461</v>
      </c>
      <c r="V43">
        <f t="shared" ca="1" si="34"/>
        <v>-0.36601524234761501</v>
      </c>
      <c r="W43">
        <f t="shared" ca="1" si="34"/>
        <v>-0.24368449264295589</v>
      </c>
      <c r="X43">
        <f t="shared" ca="1" si="34"/>
        <v>9.0538854692959386E-2</v>
      </c>
      <c r="Y43">
        <f t="shared" ca="1" si="34"/>
        <v>1.439021579288196</v>
      </c>
      <c r="Z43">
        <f t="shared" ca="1" si="34"/>
        <v>5.5697313871375922</v>
      </c>
      <c r="AA43">
        <f t="shared" ca="1" si="34"/>
        <v>13.033102521960444</v>
      </c>
      <c r="AB43">
        <f t="shared" ca="1" si="34"/>
        <v>20.907500967427122</v>
      </c>
      <c r="AC43">
        <f t="shared" ca="1" si="34"/>
        <v>26.805442239761501</v>
      </c>
      <c r="AD43">
        <f t="shared" ca="1" si="34"/>
        <v>30.784454337478518</v>
      </c>
      <c r="AE43">
        <f t="shared" ca="1" si="34"/>
        <v>33.625535897102473</v>
      </c>
      <c r="AF43">
        <f t="shared" ca="1" si="34"/>
        <v>35.883313653734504</v>
      </c>
      <c r="AG43">
        <f t="shared" ca="1" si="34"/>
        <v>37.838013993974066</v>
      </c>
      <c r="AH43">
        <f t="shared" ca="1" si="34"/>
        <v>39.615429303112947</v>
      </c>
      <c r="AI43">
        <f t="shared" ca="1" si="34"/>
        <v>41.251979523342229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0.40000000000004887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3.306143811183527E-8</v>
      </c>
      <c r="L46">
        <f t="shared" ca="1" si="35"/>
        <v>4.1667817131761245E-7</v>
      </c>
      <c r="M46">
        <f t="shared" ca="1" si="35"/>
        <v>2.5315785174611433E-6</v>
      </c>
      <c r="N46">
        <f t="shared" ca="1" si="35"/>
        <v>1.106815279027834E-5</v>
      </c>
      <c r="O46">
        <f t="shared" ca="1" si="35"/>
        <v>4.0287065495008006E-5</v>
      </c>
      <c r="P46">
        <f t="shared" ca="1" si="35"/>
        <v>1.3152943824127519E-4</v>
      </c>
      <c r="Q46">
        <f t="shared" ca="1" si="35"/>
        <v>3.9741710654213699E-4</v>
      </c>
      <c r="R46">
        <f t="shared" ca="1" si="35"/>
        <v>1.1254637244035399E-3</v>
      </c>
      <c r="S46">
        <f t="shared" ca="1" si="35"/>
        <v>3.0393060252088457E-3</v>
      </c>
      <c r="T46">
        <f t="shared" ca="1" si="35"/>
        <v>7.9297689769982013E-3</v>
      </c>
      <c r="U46">
        <f t="shared" ca="1" si="35"/>
        <v>2.0103663755225466E-2</v>
      </c>
      <c r="V46">
        <f t="shared" ca="1" si="35"/>
        <v>4.9490416670800341E-2</v>
      </c>
      <c r="W46">
        <f t="shared" ca="1" si="35"/>
        <v>0.11706098107776552</v>
      </c>
      <c r="X46">
        <f t="shared" ca="1" si="35"/>
        <v>0.25826134078620822</v>
      </c>
      <c r="Y46">
        <f t="shared" ca="1" si="35"/>
        <v>0.49994931120139458</v>
      </c>
      <c r="Z46">
        <f t="shared" ca="1" si="35"/>
        <v>0.77882597741141457</v>
      </c>
      <c r="AA46">
        <f t="shared" ca="1" si="35"/>
        <v>0.92607088103245216</v>
      </c>
      <c r="AB46">
        <f t="shared" ca="1" si="35"/>
        <v>0.87246228423843375</v>
      </c>
      <c r="AC46">
        <f t="shared" ca="1" si="35"/>
        <v>0.71087965315840451</v>
      </c>
      <c r="AD46">
        <f t="shared" ca="1" si="35"/>
        <v>0.53801855561325751</v>
      </c>
      <c r="AE46">
        <f t="shared" ca="1" si="35"/>
        <v>0.39323548198378822</v>
      </c>
      <c r="AF46">
        <f t="shared" ca="1" si="35"/>
        <v>0.28253992555367574</v>
      </c>
      <c r="AG46">
        <f t="shared" ca="1" si="35"/>
        <v>0.2010940528741644</v>
      </c>
      <c r="AH46">
        <f t="shared" ca="1" si="35"/>
        <v>0.14225117141697988</v>
      </c>
      <c r="AI46">
        <f t="shared" ca="1" si="35"/>
        <v>0.30933283031448022</v>
      </c>
    </row>
    <row r="47" spans="1:35" ht="19" thickTop="1">
      <c r="A47" s="1" t="s">
        <v>41</v>
      </c>
      <c r="B47" s="11">
        <f ca="1">MAX(0,Ro*(reck-1/spr)/(reck-1))</f>
        <v>20157.703453395538</v>
      </c>
      <c r="F47" t="s">
        <v>84</v>
      </c>
      <c r="G47" s="31">
        <f ca="1">G39/G53</f>
        <v>0.99999999999999978</v>
      </c>
      <c r="H47" s="31">
        <f ca="1">H53/H39</f>
        <v>0.50637876713117436</v>
      </c>
      <c r="I47" s="31">
        <f ca="1">I53/I39</f>
        <v>0.49624956723582819</v>
      </c>
      <c r="J47" s="8" t="s">
        <v>76</v>
      </c>
      <c r="K47">
        <f t="shared" ref="K47:AI47" ca="1" si="36">lz*qa2_</f>
        <v>3.3165404235265997E-4</v>
      </c>
      <c r="L47">
        <f t="shared" ca="1" si="36"/>
        <v>2.1117527005009587E-2</v>
      </c>
      <c r="M47">
        <f t="shared" ca="1" si="36"/>
        <v>0.34442121362452044</v>
      </c>
      <c r="N47">
        <f t="shared" ca="1" si="36"/>
        <v>0.94640639950160732</v>
      </c>
      <c r="O47">
        <f t="shared" ca="1" si="36"/>
        <v>1.3010462348003138</v>
      </c>
      <c r="P47">
        <f t="shared" ca="1" si="36"/>
        <v>1.2238584145214473</v>
      </c>
      <c r="Q47">
        <f t="shared" ca="1" si="36"/>
        <v>1.3276083300031298</v>
      </c>
      <c r="R47">
        <f t="shared" ca="1" si="36"/>
        <v>1.3497605507774013</v>
      </c>
      <c r="S47">
        <f t="shared" ca="1" si="36"/>
        <v>1.309180648488415</v>
      </c>
      <c r="T47">
        <f t="shared" ca="1" si="36"/>
        <v>1.2283056871901705</v>
      </c>
      <c r="U47">
        <f t="shared" ca="1" si="36"/>
        <v>1.1232285480144872</v>
      </c>
      <c r="V47">
        <f t="shared" ca="1" si="36"/>
        <v>1.0051017391512045</v>
      </c>
      <c r="W47">
        <f t="shared" ca="1" si="36"/>
        <v>0.8808386993339784</v>
      </c>
      <c r="X47">
        <f t="shared" ca="1" si="36"/>
        <v>0.75333510984092733</v>
      </c>
      <c r="Y47">
        <f t="shared" ca="1" si="36"/>
        <v>0.62266336512349574</v>
      </c>
      <c r="Z47">
        <f t="shared" ca="1" si="36"/>
        <v>0.53406528958272925</v>
      </c>
      <c r="AA47">
        <f t="shared" ca="1" si="36"/>
        <v>0.432293283445152</v>
      </c>
      <c r="AB47">
        <f t="shared" ca="1" si="36"/>
        <v>0.33256017230662843</v>
      </c>
      <c r="AC47">
        <f t="shared" ca="1" si="36"/>
        <v>0.24716082184508914</v>
      </c>
      <c r="AD47">
        <f t="shared" ca="1" si="36"/>
        <v>0.18001304593798775</v>
      </c>
      <c r="AE47">
        <f t="shared" ca="1" si="36"/>
        <v>0.12955692151534309</v>
      </c>
      <c r="AF47">
        <f t="shared" ca="1" si="36"/>
        <v>9.2521290483820504E-2</v>
      </c>
      <c r="AG47">
        <f t="shared" ca="1" si="36"/>
        <v>6.5693768702409588E-2</v>
      </c>
      <c r="AH47">
        <f t="shared" ca="1" si="36"/>
        <v>4.6427685438391611E-2</v>
      </c>
      <c r="AI47">
        <f t="shared" ca="1" si="36"/>
        <v>0.10092334753918192</v>
      </c>
    </row>
    <row r="48" spans="1:35">
      <c r="A48" s="1" t="s">
        <v>43</v>
      </c>
      <c r="B48" s="1">
        <f ca="1">f1_*re*phi_q1</f>
        <v>27109.570776465567</v>
      </c>
      <c r="C48" s="20">
        <f ca="1">ye_1/SUM(ye_1,ye_2,ye_3)</f>
        <v>0.60367371601208442</v>
      </c>
      <c r="F48" t="s">
        <v>85</v>
      </c>
      <c r="G48" s="31">
        <f ca="1">G40/G54</f>
        <v>1.9748063404502032</v>
      </c>
      <c r="H48" s="31">
        <f t="shared" ref="H48:I49" ca="1" si="37">H40/H54</f>
        <v>1</v>
      </c>
      <c r="I48" s="31">
        <f ca="1">I54/I40</f>
        <v>0.66880169861156702</v>
      </c>
      <c r="J48" s="8" t="s">
        <v>77</v>
      </c>
      <c r="K48">
        <f t="shared" ref="K48:AI48" ca="1" si="38">lz*qa3_</f>
        <v>3.0552121941220991E-5</v>
      </c>
      <c r="L48">
        <f t="shared" ca="1" si="38"/>
        <v>5.3950586318716879E-4</v>
      </c>
      <c r="M48">
        <f t="shared" ca="1" si="38"/>
        <v>4.5814963976794371E-3</v>
      </c>
      <c r="N48">
        <f t="shared" ca="1" si="38"/>
        <v>2.7743203691201271E-2</v>
      </c>
      <c r="O48">
        <f t="shared" ca="1" si="38"/>
        <v>0.13505585817520949</v>
      </c>
      <c r="P48">
        <f t="shared" ca="1" si="38"/>
        <v>5.7517244445391309E-2</v>
      </c>
      <c r="Q48">
        <f t="shared" ca="1" si="38"/>
        <v>1.0647519285931206</v>
      </c>
      <c r="R48">
        <f t="shared" ca="1" si="38"/>
        <v>2.1276696465343146</v>
      </c>
      <c r="S48">
        <f t="shared" ca="1" si="38"/>
        <v>2.3856237593984084</v>
      </c>
      <c r="T48">
        <f t="shared" ca="1" si="38"/>
        <v>2.2903421899004561</v>
      </c>
      <c r="U48">
        <f t="shared" ca="1" si="38"/>
        <v>2.0742938005501306</v>
      </c>
      <c r="V48">
        <f t="shared" ca="1" si="38"/>
        <v>1.8229407311367141</v>
      </c>
      <c r="W48">
        <f t="shared" ca="1" si="38"/>
        <v>1.5656629762071603</v>
      </c>
      <c r="X48">
        <f t="shared" ca="1" si="38"/>
        <v>1.3115901999818789</v>
      </c>
      <c r="Y48">
        <f t="shared" ca="1" si="38"/>
        <v>1.0617281089516184</v>
      </c>
      <c r="Z48">
        <f t="shared" ca="1" si="38"/>
        <v>0.91065600085996301</v>
      </c>
      <c r="AA48">
        <f t="shared" ca="1" si="38"/>
        <v>0.73712049889698561</v>
      </c>
      <c r="AB48">
        <f t="shared" ca="1" si="38"/>
        <v>0.56706159802048295</v>
      </c>
      <c r="AC48">
        <f t="shared" ca="1" si="38"/>
        <v>0.42144376348922963</v>
      </c>
      <c r="AD48">
        <f t="shared" ca="1" si="38"/>
        <v>0.30694741581986895</v>
      </c>
      <c r="AE48">
        <f t="shared" ca="1" si="38"/>
        <v>0.22091266804302298</v>
      </c>
      <c r="AF48">
        <f t="shared" ca="1" si="38"/>
        <v>0.15776173818041664</v>
      </c>
      <c r="AG48">
        <f t="shared" ca="1" si="38"/>
        <v>0.11201706206126438</v>
      </c>
      <c r="AH48">
        <f t="shared" ca="1" si="38"/>
        <v>7.9165695983619472E-2</v>
      </c>
      <c r="AI48">
        <f t="shared" ca="1" si="38"/>
        <v>0.17208842037878749</v>
      </c>
    </row>
    <row r="49" spans="1:47">
      <c r="A49" s="1" t="s">
        <v>44</v>
      </c>
      <c r="B49" s="1">
        <f ca="1">f2_*re*phi_q2</f>
        <v>10110.327572677936</v>
      </c>
      <c r="C49" s="20">
        <f ca="1">ye_2/SUM(ye_1,ye_2,ye_3)</f>
        <v>0.22513595166163139</v>
      </c>
      <c r="F49" t="s">
        <v>86</v>
      </c>
      <c r="G49" s="31">
        <f ca="1">G41/G55</f>
        <v>2.0151151074450793</v>
      </c>
      <c r="H49" s="31">
        <f t="shared" ca="1" si="37"/>
        <v>1.4952115134815009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7687.7563282101783</v>
      </c>
      <c r="C50" s="20">
        <f ca="1">ye_3/SUM(ye_1,ye_2,ye_3)</f>
        <v>0.17119033232628397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44907.654677353683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1175.820604467365</v>
      </c>
      <c r="H52" s="59">
        <f ca="1">H40^0.5</f>
        <v>580.33682100910892</v>
      </c>
      <c r="I52" s="11">
        <f ca="1">I41^0.5</f>
        <v>569.8315898830383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1.3448739753088788</v>
      </c>
      <c r="C53">
        <f ca="1">AVERAGE(B53:B55)/B53</f>
        <v>0.55217466736063847</v>
      </c>
      <c r="G53">
        <f ca="1">G$52*$J53</f>
        <v>1382554.0938899997</v>
      </c>
      <c r="H53">
        <f t="shared" ref="H53:I53" ca="1" si="39">H$52*$J53</f>
        <v>682371.99167359946</v>
      </c>
      <c r="I53">
        <f t="shared" ca="1" si="39"/>
        <v>670019.72446087375</v>
      </c>
      <c r="J53">
        <f t="array" aca="1" ref="J53:J55" ca="1">TRANSPOSE(G52:I52)</f>
        <v>1175.820604467365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0.50156147976146881</v>
      </c>
      <c r="C54">
        <f ca="1">AVERAGE(B53:B55)/B54</f>
        <v>1.4805868670602971</v>
      </c>
      <c r="G54">
        <f t="shared" ref="G54:I55" ca="1" si="40">G$52*$J54</f>
        <v>682371.99167359946</v>
      </c>
      <c r="H54">
        <f t="shared" ca="1" si="40"/>
        <v>336790.82581895852</v>
      </c>
      <c r="I54">
        <f ca="1">I$52*$J54</f>
        <v>330694.25338328874</v>
      </c>
      <c r="J54">
        <f ca="1"/>
        <v>580.33682100910892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0.38138056480413135</v>
      </c>
      <c r="C55">
        <f ca="1">AVERAGE(B53:B55)/B55</f>
        <v>1.9471504541390183</v>
      </c>
      <c r="G55">
        <f t="shared" ca="1" si="40"/>
        <v>670019.72446087375</v>
      </c>
      <c r="H55">
        <f t="shared" ca="1" si="40"/>
        <v>330694.25338328874</v>
      </c>
      <c r="I55">
        <f t="shared" ca="1" si="40"/>
        <v>324708.04082863114</v>
      </c>
      <c r="J55">
        <f ca="1"/>
        <v>569.8315898830383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4.0815470486742014E-2</v>
      </c>
      <c r="C56">
        <f ca="1">AVERAGE(B56:B58)/B56</f>
        <v>1.2689809710261768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8.6585517569142456E-2</v>
      </c>
      <c r="C57">
        <f ca="1">AVERAGE(B56:B58)/B57</f>
        <v>0.59818381670810283</v>
      </c>
      <c r="G57">
        <f t="array" aca="1" ref="G57:I59" ca="1">MMULT($G$52:$I$52,TRANSPOSE($G$52:$I$52))</f>
        <v>2044052.9605375892</v>
      </c>
      <c r="H57">
        <f ca="1"/>
        <v>2044052.9605375892</v>
      </c>
      <c r="I57">
        <f ca="1"/>
        <v>2044052.9605375892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2.7981178057583937E-2</v>
      </c>
      <c r="C58">
        <f ca="1">AVERAGE(B56:B58)/B58</f>
        <v>1.8510319781592621</v>
      </c>
      <c r="G58">
        <f ca="1"/>
        <v>2044052.9605375892</v>
      </c>
      <c r="H58">
        <f ca="1"/>
        <v>2044052.9605375892</v>
      </c>
      <c r="I58">
        <f ca="1"/>
        <v>2044052.9605375892</v>
      </c>
      <c r="AL58" s="31"/>
      <c r="AM58" s="31"/>
      <c r="AN58" s="31"/>
      <c r="AO58" s="31"/>
      <c r="AP58" s="31"/>
    </row>
    <row r="59" spans="1:47">
      <c r="G59">
        <f ca="1"/>
        <v>2044052.9605375892</v>
      </c>
      <c r="H59">
        <f ca="1"/>
        <v>2044052.9605375892</v>
      </c>
      <c r="I59">
        <f ca="1"/>
        <v>2044052.9605375892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32.950103460052745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5.7926717289753364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13.629896640494129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15" sqref="C1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0.61858540861471256</v>
      </c>
      <c r="E4" s="49">
        <v>24977</v>
      </c>
      <c r="F4" s="49">
        <f ca="1">ye_1</f>
        <v>28045.149168884247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0.21250706704393413</v>
      </c>
      <c r="E5" s="49">
        <v>9315</v>
      </c>
      <c r="F5" s="49">
        <f ca="1">ye_2</f>
        <v>9634.5505595352479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0.16890752434135328</v>
      </c>
      <c r="E6" s="49">
        <v>7083</v>
      </c>
      <c r="F6" s="49">
        <f ca="1">ye_3</f>
        <v>7657.8539518229663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0.40000000000194524</v>
      </c>
      <c r="J7" t="s">
        <v>7</v>
      </c>
      <c r="K7" s="1">
        <f>1</f>
        <v>1</v>
      </c>
      <c r="L7" s="1">
        <f ca="1">K7*EXP(-K8)</f>
        <v>0.86051396089881504</v>
      </c>
      <c r="M7" s="1">
        <f t="shared" ref="M7:AH7" ca="1" si="4">L7*EXP(-L8)</f>
        <v>0.73858257289808626</v>
      </c>
      <c r="N7" s="1">
        <f t="shared" ca="1" si="4"/>
        <v>0.62370968440829488</v>
      </c>
      <c r="O7" s="1">
        <f t="shared" ca="1" si="4"/>
        <v>0.52048979435866383</v>
      </c>
      <c r="P7" s="1">
        <f t="shared" ca="1" si="4"/>
        <v>0.43421346854063614</v>
      </c>
      <c r="Q7" s="1">
        <f t="shared" ca="1" si="4"/>
        <v>0.36550930995393371</v>
      </c>
      <c r="R7" s="1">
        <f t="shared" ca="1" si="4"/>
        <v>0.30533110544392317</v>
      </c>
      <c r="S7" s="1">
        <f t="shared" ca="1" si="4"/>
        <v>0.25340747583276801</v>
      </c>
      <c r="T7" s="1">
        <f t="shared" ca="1" si="4"/>
        <v>0.21036034419138186</v>
      </c>
      <c r="U7" s="1">
        <f t="shared" ca="1" si="4"/>
        <v>0.17499159614448079</v>
      </c>
      <c r="V7" s="1">
        <f t="shared" ca="1" si="4"/>
        <v>0.14582460460472105</v>
      </c>
      <c r="W7" s="1">
        <f t="shared" ca="1" si="4"/>
        <v>0.12150359793740068</v>
      </c>
      <c r="X7" s="1">
        <f t="shared" ca="1" si="4"/>
        <v>0.10077905369584153</v>
      </c>
      <c r="Y7" s="1">
        <f t="shared" ca="1" si="4"/>
        <v>8.2430147045005883E-2</v>
      </c>
      <c r="Z7" s="1">
        <f t="shared" ca="1" si="4"/>
        <v>6.541007760429568E-2</v>
      </c>
      <c r="AA7" s="1">
        <f t="shared" ca="1" si="4"/>
        <v>4.9399429751330624E-2</v>
      </c>
      <c r="AB7" s="1">
        <f t="shared" ca="1" si="4"/>
        <v>3.54308818236252E-2</v>
      </c>
      <c r="AC7" s="1">
        <f t="shared" ca="1" si="4"/>
        <v>2.450576322884571E-2</v>
      </c>
      <c r="AD7" s="1">
        <f t="shared" ca="1" si="4"/>
        <v>1.6629201386874199E-2</v>
      </c>
      <c r="AE7" s="1">
        <f t="shared" ca="1" si="4"/>
        <v>1.1188814989190957E-2</v>
      </c>
      <c r="AF7" s="1">
        <f t="shared" ca="1" si="4"/>
        <v>7.5019477990775629E-3</v>
      </c>
      <c r="AG7" s="1">
        <f t="shared" ca="1" si="4"/>
        <v>5.0229168033629592E-3</v>
      </c>
      <c r="AH7" s="1">
        <f t="shared" ca="1" si="4"/>
        <v>3.3612333621996738E-3</v>
      </c>
      <c r="AI7" s="1">
        <f ca="1">AH7*EXP(-AH8)/(1-EXP(-AI8))</f>
        <v>6.7935110372238519E-3</v>
      </c>
    </row>
    <row r="8" spans="1:35">
      <c r="A8" s="5"/>
      <c r="B8" s="26"/>
      <c r="C8" s="26"/>
      <c r="E8" t="s">
        <v>111</v>
      </c>
      <c r="F8">
        <f ca="1">SUMXMY2(E4:E6,F4:F6)</f>
        <v>9846108.9485508669</v>
      </c>
      <c r="J8" t="s">
        <v>11</v>
      </c>
      <c r="K8" s="1">
        <f ca="1">M+f1_*flt1_ +f2_*flt2_ +f3_*flt3_</f>
        <v>0.15022543929153737</v>
      </c>
      <c r="L8" s="1">
        <f t="shared" ref="L8:AI8" ca="1" si="5">M+f1_*flt1_ +f2_*flt2_ +f3_*flt3_</f>
        <v>0.15279693232698557</v>
      </c>
      <c r="M8" s="1">
        <f t="shared" ca="1" si="5"/>
        <v>0.16904789660192504</v>
      </c>
      <c r="N8" s="1">
        <f t="shared" ca="1" si="5"/>
        <v>0.18091473027898131</v>
      </c>
      <c r="O8" s="1">
        <f t="shared" ca="1" si="5"/>
        <v>0.18123400431039854</v>
      </c>
      <c r="P8" s="1">
        <f t="shared" ca="1" si="5"/>
        <v>0.17224452547668959</v>
      </c>
      <c r="Q8" s="1">
        <f t="shared" ca="1" si="5"/>
        <v>0.1798949712972569</v>
      </c>
      <c r="R8" s="1">
        <f t="shared" ca="1" si="5"/>
        <v>0.18639800984402424</v>
      </c>
      <c r="S8" s="1">
        <f t="shared" ca="1" si="5"/>
        <v>0.18617678463287055</v>
      </c>
      <c r="T8" s="1">
        <f t="shared" ca="1" si="5"/>
        <v>0.18408403418258706</v>
      </c>
      <c r="U8" s="1">
        <f t="shared" ca="1" si="5"/>
        <v>0.18233338953970782</v>
      </c>
      <c r="V8" s="1">
        <f t="shared" ca="1" si="5"/>
        <v>0.18246068620351263</v>
      </c>
      <c r="W8" s="1">
        <f t="shared" ca="1" si="5"/>
        <v>0.18701334158842889</v>
      </c>
      <c r="X8" s="1">
        <f t="shared" ca="1" si="5"/>
        <v>0.20097930120638613</v>
      </c>
      <c r="Y8" s="1">
        <f t="shared" ca="1" si="5"/>
        <v>0.2312748937998135</v>
      </c>
      <c r="Z8" s="1">
        <f t="shared" ca="1" si="5"/>
        <v>0.28073745776911352</v>
      </c>
      <c r="AA8" s="1">
        <f t="shared" ca="1" si="5"/>
        <v>0.33235507288489519</v>
      </c>
      <c r="AB8" s="1">
        <f t="shared" ca="1" si="5"/>
        <v>0.36867548402904449</v>
      </c>
      <c r="AC8" s="1">
        <f t="shared" ca="1" si="5"/>
        <v>0.38774805410316626</v>
      </c>
      <c r="AD8" s="1">
        <f t="shared" ca="1" si="5"/>
        <v>0.39624565198796358</v>
      </c>
      <c r="AE8" s="1">
        <f t="shared" ca="1" si="5"/>
        <v>0.39975192425881634</v>
      </c>
      <c r="AF8" s="1">
        <f t="shared" ca="1" si="5"/>
        <v>0.40115189187427369</v>
      </c>
      <c r="AG8" s="1">
        <f t="shared" ca="1" si="5"/>
        <v>0.40170282278988523</v>
      </c>
      <c r="AH8" s="1">
        <f t="shared" ca="1" si="5"/>
        <v>0.40191770992401532</v>
      </c>
      <c r="AI8" s="1">
        <f t="shared" ca="1" si="5"/>
        <v>0.40200054755960246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0.86051396089881504</v>
      </c>
      <c r="L10" s="1">
        <f t="shared" ca="1" si="6"/>
        <v>0.85830399791146872</v>
      </c>
      <c r="M10" s="1">
        <f t="shared" ca="1" si="6"/>
        <v>0.84446845524793857</v>
      </c>
      <c r="N10" s="1">
        <f t="shared" ca="1" si="6"/>
        <v>0.83450651379967844</v>
      </c>
      <c r="O10" s="1">
        <f t="shared" ca="1" si="6"/>
        <v>0.83424012006933679</v>
      </c>
      <c r="P10" s="1">
        <f t="shared" ca="1" si="6"/>
        <v>0.84177331297987434</v>
      </c>
      <c r="Q10" s="1">
        <f t="shared" ca="1" si="6"/>
        <v>0.83535794336512248</v>
      </c>
      <c r="R10" s="1">
        <f t="shared" ca="1" si="6"/>
        <v>0.82994320367175489</v>
      </c>
      <c r="S10" s="1">
        <f t="shared" ca="1" si="6"/>
        <v>0.83012682834268714</v>
      </c>
      <c r="T10" s="1">
        <f t="shared" ca="1" si="6"/>
        <v>0.83186589571880876</v>
      </c>
      <c r="U10" s="1">
        <f t="shared" ca="1" si="6"/>
        <v>0.83332347277021124</v>
      </c>
      <c r="V10" s="1">
        <f t="shared" ca="1" si="6"/>
        <v>0.83321740022374124</v>
      </c>
      <c r="W10" s="1">
        <f t="shared" ca="1" si="6"/>
        <v>0.82943267036226742</v>
      </c>
      <c r="X10" s="1">
        <f t="shared" ca="1" si="6"/>
        <v>0.81792936152968876</v>
      </c>
      <c r="Y10" s="1">
        <f t="shared" ca="1" si="6"/>
        <v>0.79352130196471138</v>
      </c>
      <c r="Z10" s="1">
        <f t="shared" ca="1" si="6"/>
        <v>0.7552265883275211</v>
      </c>
      <c r="AA10" s="1">
        <f t="shared" ca="1" si="6"/>
        <v>0.71723260778472508</v>
      </c>
      <c r="AB10" s="1">
        <f t="shared" ca="1" si="6"/>
        <v>0.69164982544988041</v>
      </c>
      <c r="AC10" s="1">
        <f t="shared" ca="1" si="6"/>
        <v>0.67858328800385947</v>
      </c>
      <c r="AD10" s="1">
        <f t="shared" ca="1" si="6"/>
        <v>0.67284139080921457</v>
      </c>
      <c r="AE10" s="1">
        <f t="shared" ca="1" si="6"/>
        <v>0.67048635680587076</v>
      </c>
      <c r="AF10" s="1">
        <f t="shared" ca="1" si="6"/>
        <v>0.66954835435946058</v>
      </c>
      <c r="AG10" s="1">
        <f t="shared" ca="1" si="6"/>
        <v>0.66917958106517916</v>
      </c>
      <c r="AH10" s="1">
        <f t="shared" ca="1" si="6"/>
        <v>0.66903579843185801</v>
      </c>
      <c r="AI10" s="1">
        <f t="shared" ca="1" si="6"/>
        <v>0.66898037938361588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0.2776560452429222</v>
      </c>
      <c r="J11" t="s">
        <v>56</v>
      </c>
      <c r="K11" s="1">
        <f ca="1">1-sa</f>
        <v>0.13948603910118496</v>
      </c>
      <c r="L11" s="1">
        <f t="shared" ref="L11:AI11" ca="1" si="7">1-sa</f>
        <v>0.14169600208853128</v>
      </c>
      <c r="M11" s="1">
        <f t="shared" ca="1" si="7"/>
        <v>0.15553154475206143</v>
      </c>
      <c r="N11" s="1">
        <f t="shared" ca="1" si="7"/>
        <v>0.16549348620032156</v>
      </c>
      <c r="O11" s="1">
        <f t="shared" ca="1" si="7"/>
        <v>0.16575987993066321</v>
      </c>
      <c r="P11" s="1">
        <f t="shared" ca="1" si="7"/>
        <v>0.15822668702012566</v>
      </c>
      <c r="Q11" s="1">
        <f t="shared" ca="1" si="7"/>
        <v>0.16464205663487752</v>
      </c>
      <c r="R11" s="1">
        <f t="shared" ca="1" si="7"/>
        <v>0.17005679632824511</v>
      </c>
      <c r="S11" s="1">
        <f t="shared" ca="1" si="7"/>
        <v>0.16987317165731286</v>
      </c>
      <c r="T11" s="1">
        <f t="shared" ca="1" si="7"/>
        <v>0.16813410428119124</v>
      </c>
      <c r="U11" s="1">
        <f t="shared" ca="1" si="7"/>
        <v>0.16667652722978876</v>
      </c>
      <c r="V11" s="1">
        <f t="shared" ca="1" si="7"/>
        <v>0.16678259977625876</v>
      </c>
      <c r="W11" s="1">
        <f t="shared" ca="1" si="7"/>
        <v>0.17056732963773258</v>
      </c>
      <c r="X11" s="1">
        <f t="shared" ca="1" si="7"/>
        <v>0.18207063847031124</v>
      </c>
      <c r="Y11" s="1">
        <f t="shared" ca="1" si="7"/>
        <v>0.20647869803528862</v>
      </c>
      <c r="Z11" s="1">
        <f t="shared" ca="1" si="7"/>
        <v>0.2447734116724789</v>
      </c>
      <c r="AA11" s="1">
        <f t="shared" ca="1" si="7"/>
        <v>0.28276739221527492</v>
      </c>
      <c r="AB11" s="1">
        <f t="shared" ca="1" si="7"/>
        <v>0.30835017455011959</v>
      </c>
      <c r="AC11" s="1">
        <f t="shared" ca="1" si="7"/>
        <v>0.32141671199614053</v>
      </c>
      <c r="AD11" s="1">
        <f t="shared" ca="1" si="7"/>
        <v>0.32715860919078543</v>
      </c>
      <c r="AE11" s="1">
        <f t="shared" ca="1" si="7"/>
        <v>0.32951364319412924</v>
      </c>
      <c r="AF11" s="1">
        <f t="shared" ca="1" si="7"/>
        <v>0.33045164564053942</v>
      </c>
      <c r="AG11" s="1">
        <f t="shared" ca="1" si="7"/>
        <v>0.33082041893482084</v>
      </c>
      <c r="AH11" s="1">
        <f t="shared" ca="1" si="7"/>
        <v>0.33096420156814199</v>
      </c>
      <c r="AI11" s="1">
        <f t="shared" ca="1" si="7"/>
        <v>0.33101962061638412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0.53959687512124965</v>
      </c>
      <c r="J12" t="s">
        <v>100</v>
      </c>
      <c r="K12">
        <f>1/(1+EXP(($E18-len)/2.5))</f>
        <v>0.99898718624880734</v>
      </c>
      <c r="L12">
        <f t="shared" ref="L12:AI12" si="8">1/(1+EXP(($E18-len)/2.5))</f>
        <v>0.99999561571634576</v>
      </c>
      <c r="M12">
        <f t="shared" si="8"/>
        <v>0.99999997149652653</v>
      </c>
      <c r="N12">
        <f t="shared" si="8"/>
        <v>0.99999999972979126</v>
      </c>
      <c r="O12">
        <f t="shared" si="8"/>
        <v>0.9999999999963689</v>
      </c>
      <c r="P12">
        <f t="shared" si="8"/>
        <v>0.99999999999993272</v>
      </c>
      <c r="Q12">
        <f t="shared" si="8"/>
        <v>0.99999999999999822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0.18274707963582817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0.40000000000194524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3.7838877012020549E-24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0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6.9550658915612429E-7</v>
      </c>
      <c r="L18" s="4">
        <f t="shared" ref="K18:P20" si="12">((EXP(g*(ah-age)/gh)/(1+EXP((ah-age)/gh))) *(1/(1-g))*((1-g)/g)^g) *(sr+(1-sr)*dmr)</f>
        <v>1.7796593889779232E-6</v>
      </c>
      <c r="M18" s="4">
        <f t="shared" si="12"/>
        <v>4.5499366343571328E-6</v>
      </c>
      <c r="N18" s="4">
        <f t="shared" si="12"/>
        <v>1.1632427530234354E-5</v>
      </c>
      <c r="O18" s="4">
        <f t="shared" si="12"/>
        <v>2.9739287925580087E-5</v>
      </c>
      <c r="P18" s="4">
        <f t="shared" ref="P18:AI18" si="13">((EXP(g*(ah-age)/gh)/(1+EXP((ah-age)/gh))) *(1/(1-g))*((1-g)/g)^g) *(sr_1+(1-sr_1)*dmr)</f>
        <v>7.602887032963758E-5</v>
      </c>
      <c r="Q18" s="4">
        <f t="shared" si="13"/>
        <v>1.9435477942245623E-4</v>
      </c>
      <c r="R18" s="4">
        <f t="shared" si="13"/>
        <v>4.9674322392758363E-4</v>
      </c>
      <c r="S18" s="4">
        <f t="shared" si="13"/>
        <v>1.2690081150531374E-3</v>
      </c>
      <c r="T18" s="4">
        <f t="shared" si="13"/>
        <v>3.2379905213052156E-3</v>
      </c>
      <c r="U18" s="4">
        <f t="shared" si="13"/>
        <v>8.2368376871169522E-3</v>
      </c>
      <c r="V18" s="4">
        <f t="shared" si="13"/>
        <v>2.0792008372629657E-2</v>
      </c>
      <c r="W18" s="4">
        <f t="shared" si="13"/>
        <v>5.1491204908949553E-2</v>
      </c>
      <c r="X18" s="4">
        <f t="shared" si="13"/>
        <v>0.12187661989811299</v>
      </c>
      <c r="Y18" s="4">
        <f t="shared" si="13"/>
        <v>0.26191103367452068</v>
      </c>
      <c r="Z18" s="4">
        <f t="shared" si="13"/>
        <v>0.4756934927991851</v>
      </c>
      <c r="AA18" s="4">
        <f t="shared" si="13"/>
        <v>0.69879031205124198</v>
      </c>
      <c r="AB18" s="4">
        <f t="shared" si="13"/>
        <v>0.85577098971353227</v>
      </c>
      <c r="AC18" s="4">
        <f t="shared" si="13"/>
        <v>0.93820466490279131</v>
      </c>
      <c r="AD18" s="4">
        <f t="shared" si="13"/>
        <v>0.97493218621753863</v>
      </c>
      <c r="AE18" s="4">
        <f t="shared" si="13"/>
        <v>0.99008666767322651</v>
      </c>
      <c r="AF18" s="4">
        <f t="shared" si="13"/>
        <v>0.99613747651752993</v>
      </c>
      <c r="AG18" s="4">
        <f t="shared" si="13"/>
        <v>0.9985186584962954</v>
      </c>
      <c r="AH18" s="4">
        <f t="shared" si="13"/>
        <v>0.99944742353154725</v>
      </c>
      <c r="AI18" s="4">
        <f t="shared" si="13"/>
        <v>0.99980545659782483</v>
      </c>
    </row>
    <row r="19" spans="1:39">
      <c r="A19" t="s">
        <v>21</v>
      </c>
      <c r="B19">
        <v>12</v>
      </c>
      <c r="E19">
        <v>200</v>
      </c>
      <c r="F19" s="31">
        <v>0.8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6.9769370284580995E-3</v>
      </c>
      <c r="L19" s="4">
        <f t="shared" si="12"/>
        <v>9.0194322125440346E-2</v>
      </c>
      <c r="M19" s="4">
        <f t="shared" si="12"/>
        <v>0.61901880060648884</v>
      </c>
      <c r="N19" s="4">
        <f t="shared" si="12"/>
        <v>0.99465593445928724</v>
      </c>
      <c r="O19" s="4">
        <f t="shared" si="12"/>
        <v>0.96041218455121224</v>
      </c>
      <c r="P19" s="4">
        <f t="shared" ref="P19:Y19" si="14">((EXP(g*(ah-age)/gh)/(1+EXP((ah-age)/gh))) *(1/(1-g))*((1-g)/g)^g) *(sr_2+(1-sr_2)*dmr)</f>
        <v>0.70743533876272136</v>
      </c>
      <c r="Q19" s="4">
        <f t="shared" si="14"/>
        <v>0.6492599837541615</v>
      </c>
      <c r="R19" s="4">
        <f t="shared" si="14"/>
        <v>0.59574057607123032</v>
      </c>
      <c r="S19" s="4">
        <f t="shared" si="14"/>
        <v>0.54662506941470868</v>
      </c>
      <c r="T19" s="4">
        <f t="shared" si="14"/>
        <v>0.50155839141389946</v>
      </c>
      <c r="U19" s="4">
        <f t="shared" si="14"/>
        <v>0.46020722133927372</v>
      </c>
      <c r="V19" s="4">
        <f t="shared" si="14"/>
        <v>0.42226526227867622</v>
      </c>
      <c r="W19" s="4">
        <f t="shared" si="14"/>
        <v>0.38745144232994355</v>
      </c>
      <c r="X19" s="4">
        <f t="shared" si="14"/>
        <v>0.35550786098485632</v>
      </c>
      <c r="Y19" s="4">
        <f t="shared" si="14"/>
        <v>0.32619788033882458</v>
      </c>
      <c r="Z19" s="4">
        <f>Y19</f>
        <v>0.32619788033882458</v>
      </c>
      <c r="AA19" s="4">
        <f t="shared" ref="AA19:AI20" si="15">Z19</f>
        <v>0.32619788033882458</v>
      </c>
      <c r="AB19" s="4">
        <f t="shared" si="15"/>
        <v>0.32619788033882458</v>
      </c>
      <c r="AC19" s="4">
        <f t="shared" si="15"/>
        <v>0.32619788033882458</v>
      </c>
      <c r="AD19" s="4">
        <f t="shared" si="15"/>
        <v>0.32619788033882458</v>
      </c>
      <c r="AE19" s="4">
        <f t="shared" si="15"/>
        <v>0.32619788033882458</v>
      </c>
      <c r="AF19" s="4">
        <f t="shared" si="15"/>
        <v>0.32619788033882458</v>
      </c>
      <c r="AG19" s="4">
        <f t="shared" si="15"/>
        <v>0.32619788033882458</v>
      </c>
      <c r="AH19" s="4">
        <f t="shared" si="15"/>
        <v>0.32619788033882458</v>
      </c>
      <c r="AI19" s="4">
        <f t="shared" si="15"/>
        <v>0.32619788033882458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6.427186273912825E-4</v>
      </c>
      <c r="L20" s="4">
        <f t="shared" si="12"/>
        <v>2.304264396173086E-3</v>
      </c>
      <c r="M20" s="4">
        <f t="shared" si="12"/>
        <v>8.2341978161840131E-3</v>
      </c>
      <c r="N20" s="4">
        <f t="shared" si="12"/>
        <v>2.9157603125779884E-2</v>
      </c>
      <c r="O20" s="4">
        <f t="shared" si="12"/>
        <v>9.9696143239982229E-2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3.3061624279791772E-8</v>
      </c>
      <c r="L22" s="1">
        <f t="shared" ca="1" si="17"/>
        <v>4.8426073286487192E-7</v>
      </c>
      <c r="M22" s="1">
        <f t="shared" ca="1" si="17"/>
        <v>3.429861117238083E-6</v>
      </c>
      <c r="N22" s="1">
        <f t="shared" ca="1" si="17"/>
        <v>1.7780700403167775E-5</v>
      </c>
      <c r="O22" s="1">
        <f t="shared" ca="1" si="17"/>
        <v>7.7680377090126704E-5</v>
      </c>
      <c r="P22" s="1">
        <f t="shared" ca="1" si="17"/>
        <v>3.0442464056027271E-4</v>
      </c>
      <c r="Q22" s="1">
        <f t="shared" ca="1" si="17"/>
        <v>1.0939832176797653E-3</v>
      </c>
      <c r="R22" s="1">
        <f t="shared" ca="1" si="17"/>
        <v>3.7129302506217084E-3</v>
      </c>
      <c r="S22" s="1">
        <f t="shared" ca="1" si="17"/>
        <v>1.2094375125671547E-2</v>
      </c>
      <c r="T22" s="1">
        <f t="shared" ca="1" si="17"/>
        <v>3.8050200853971518E-2</v>
      </c>
      <c r="U22" s="1">
        <f t="shared" ca="1" si="17"/>
        <v>0.11606391404000095</v>
      </c>
      <c r="V22" s="1">
        <f t="shared" ca="1" si="17"/>
        <v>0.343108410462309</v>
      </c>
      <c r="W22" s="1">
        <f t="shared" ca="1" si="17"/>
        <v>0.97438161755123487</v>
      </c>
      <c r="X22" s="1">
        <f t="shared" ca="1" si="17"/>
        <v>2.5911091532765749</v>
      </c>
      <c r="Y22" s="1">
        <f t="shared" ca="1" si="17"/>
        <v>6.1233714958210141</v>
      </c>
      <c r="Z22" s="1">
        <f t="shared" ca="1" si="17"/>
        <v>11.979280422909838</v>
      </c>
      <c r="AA22" s="1">
        <f t="shared" ca="1" si="17"/>
        <v>18.748908475888626</v>
      </c>
      <c r="AB22" s="1">
        <f t="shared" ca="1" si="17"/>
        <v>24.428413348520507</v>
      </c>
      <c r="AC22" s="1">
        <f t="shared" ca="1" si="17"/>
        <v>28.505720958247718</v>
      </c>
      <c r="AD22" s="1">
        <f t="shared" ca="1" si="17"/>
        <v>31.470244418113413</v>
      </c>
      <c r="AE22" s="1">
        <f t="shared" ca="1" si="17"/>
        <v>33.828290493738457</v>
      </c>
      <c r="AF22" s="1">
        <f t="shared" ca="1" si="17"/>
        <v>35.867407262573217</v>
      </c>
      <c r="AG22" s="1">
        <f t="shared" ca="1" si="17"/>
        <v>37.722330558227583</v>
      </c>
      <c r="AH22" s="1">
        <f t="shared" ca="1" si="17"/>
        <v>39.451636924436734</v>
      </c>
      <c r="AI22" s="1">
        <f t="shared" ca="1" si="17"/>
        <v>41.08023972283663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3.3165590988652591E-4</v>
      </c>
      <c r="L23" s="1">
        <f t="shared" ca="1" si="18"/>
        <v>2.4542656197712395E-2</v>
      </c>
      <c r="M23" s="1">
        <f t="shared" ca="1" si="18"/>
        <v>0.46663254582654917</v>
      </c>
      <c r="N23" s="1">
        <f t="shared" ca="1" si="18"/>
        <v>1.5203773355893122</v>
      </c>
      <c r="O23" s="1">
        <f t="shared" ca="1" si="18"/>
        <v>2.5086404504567601</v>
      </c>
      <c r="P23" s="1">
        <f t="shared" ca="1" si="18"/>
        <v>2.8326180277141941</v>
      </c>
      <c r="Q23" s="1">
        <f t="shared" ca="1" si="18"/>
        <v>3.6545513737750785</v>
      </c>
      <c r="R23" s="1">
        <f t="shared" ca="1" si="18"/>
        <v>4.452890547612455</v>
      </c>
      <c r="S23" s="1">
        <f t="shared" ca="1" si="18"/>
        <v>5.2096504066255775</v>
      </c>
      <c r="T23" s="1">
        <f t="shared" ca="1" si="18"/>
        <v>5.8939016058641602</v>
      </c>
      <c r="U23" s="1">
        <f t="shared" ca="1" si="18"/>
        <v>6.4847036456299127</v>
      </c>
      <c r="V23" s="1">
        <f t="shared" ca="1" si="18"/>
        <v>6.9681947187270517</v>
      </c>
      <c r="W23" s="1">
        <f t="shared" ca="1" si="18"/>
        <v>7.3318455796009685</v>
      </c>
      <c r="X23" s="1">
        <f t="shared" ca="1" si="18"/>
        <v>7.5581327528586932</v>
      </c>
      <c r="Y23" s="1">
        <f t="shared" ca="1" si="18"/>
        <v>7.6263713461809264</v>
      </c>
      <c r="Z23" s="1">
        <f t="shared" ca="1" si="18"/>
        <v>8.2145666087283953</v>
      </c>
      <c r="AA23" s="1">
        <f t="shared" ca="1" si="18"/>
        <v>8.7520592344059569</v>
      </c>
      <c r="AB23" s="1">
        <f t="shared" ca="1" si="18"/>
        <v>9.3114825696480725</v>
      </c>
      <c r="AC23" s="1">
        <f t="shared" ca="1" si="18"/>
        <v>9.9109566408666758</v>
      </c>
      <c r="AD23" s="1">
        <f t="shared" ca="1" si="18"/>
        <v>10.529478017092313</v>
      </c>
      <c r="AE23" s="1">
        <f t="shared" ca="1" si="18"/>
        <v>11.145202753286091</v>
      </c>
      <c r="AF23" s="1">
        <f t="shared" ca="1" si="18"/>
        <v>11.745238481743693</v>
      </c>
      <c r="AG23" s="1">
        <f t="shared" ca="1" si="18"/>
        <v>12.32319913587269</v>
      </c>
      <c r="AH23" s="1">
        <f t="shared" ca="1" si="18"/>
        <v>12.876155401126972</v>
      </c>
      <c r="AI23" s="1">
        <f t="shared" ca="1" si="18"/>
        <v>13.402894566107976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3.055229397929415E-5</v>
      </c>
      <c r="L24" s="1">
        <f t="shared" ca="1" si="19"/>
        <v>6.2701029877748865E-4</v>
      </c>
      <c r="M24" s="1">
        <f t="shared" ca="1" si="19"/>
        <v>6.2071534597023361E-3</v>
      </c>
      <c r="N24" s="1">
        <f t="shared" ca="1" si="19"/>
        <v>4.4568737205235395E-2</v>
      </c>
      <c r="O24" s="1">
        <f t="shared" ca="1" si="19"/>
        <v>0.26041087536099922</v>
      </c>
      <c r="P24" s="1">
        <f t="shared" ca="1" si="19"/>
        <v>0.13312355545977608</v>
      </c>
      <c r="Q24" s="1">
        <f t="shared" ca="1" si="19"/>
        <v>2.9309778610386403</v>
      </c>
      <c r="R24" s="1">
        <f t="shared" ca="1" si="19"/>
        <v>7.0192302271968341</v>
      </c>
      <c r="S24" s="1">
        <f t="shared" ca="1" si="19"/>
        <v>9.4931633786027039</v>
      </c>
      <c r="T24" s="1">
        <f t="shared" ca="1" si="19"/>
        <v>10.989977211546337</v>
      </c>
      <c r="U24" s="1">
        <f t="shared" ca="1" si="19"/>
        <v>11.975461800995348</v>
      </c>
      <c r="V24" s="1">
        <f t="shared" ca="1" si="19"/>
        <v>12.638129535012514</v>
      </c>
      <c r="W24" s="1">
        <f t="shared" ca="1" si="19"/>
        <v>13.03212401990176</v>
      </c>
      <c r="X24" s="1">
        <f t="shared" ca="1" si="19"/>
        <v>13.1590479712339</v>
      </c>
      <c r="Y24" s="1">
        <f t="shared" ca="1" si="19"/>
        <v>13.004029594606937</v>
      </c>
      <c r="Z24" s="1">
        <f t="shared" ca="1" si="19"/>
        <v>14.006984768748206</v>
      </c>
      <c r="AA24" s="1">
        <f t="shared" ca="1" si="19"/>
        <v>14.923484856918471</v>
      </c>
      <c r="AB24" s="1">
        <f t="shared" ca="1" si="19"/>
        <v>15.877379871622312</v>
      </c>
      <c r="AC24" s="1">
        <f t="shared" ca="1" si="19"/>
        <v>16.899566991743342</v>
      </c>
      <c r="AD24" s="1">
        <f t="shared" ca="1" si="19"/>
        <v>17.954232430420547</v>
      </c>
      <c r="AE24" s="1">
        <f t="shared" ca="1" si="19"/>
        <v>19.004129206769505</v>
      </c>
      <c r="AF24" s="1">
        <f t="shared" ca="1" si="19"/>
        <v>20.027274031023527</v>
      </c>
      <c r="AG24" s="1">
        <f t="shared" ca="1" si="19"/>
        <v>21.012777766633725</v>
      </c>
      <c r="AH24" s="1">
        <f t="shared" ca="1" si="19"/>
        <v>21.955645522672235</v>
      </c>
      <c r="AI24" s="1">
        <f t="shared" ca="1" si="19"/>
        <v>22.853809456622514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6.45785825274854E-7</v>
      </c>
      <c r="L26">
        <f t="shared" ref="L26:AI26" ca="1" si="20">qa1_/wa</f>
        <v>1.6503644193447857E-6</v>
      </c>
      <c r="M26">
        <f t="shared" ca="1" si="20"/>
        <v>4.1861430250857182E-6</v>
      </c>
      <c r="N26">
        <f t="shared" ca="1" si="20"/>
        <v>1.0640874747912869E-5</v>
      </c>
      <c r="O26">
        <f t="shared" ca="1" si="20"/>
        <v>2.7200087613385785E-5</v>
      </c>
      <c r="P26">
        <f t="shared" ca="1" si="20"/>
        <v>6.9841385302950093E-5</v>
      </c>
      <c r="Q26">
        <f t="shared" ca="1" si="20"/>
        <v>1.7787584816952076E-4</v>
      </c>
      <c r="R26">
        <f t="shared" ca="1" si="20"/>
        <v>4.5319454499313756E-4</v>
      </c>
      <c r="S26">
        <f t="shared" ca="1" si="20"/>
        <v>1.1578803113827356E-3</v>
      </c>
      <c r="T26">
        <f t="shared" ca="1" si="20"/>
        <v>2.9574353820964743E-3</v>
      </c>
      <c r="U26">
        <f t="shared" ca="1" si="20"/>
        <v>7.5295452166489621E-3</v>
      </c>
      <c r="V26">
        <f t="shared" ca="1" si="20"/>
        <v>1.9005437736264275E-2</v>
      </c>
      <c r="W26">
        <f t="shared" ca="1" si="20"/>
        <v>4.6963052189492809E-2</v>
      </c>
      <c r="X26">
        <f t="shared" ca="1" si="20"/>
        <v>0.11041014605113861</v>
      </c>
      <c r="Y26">
        <f t="shared" ca="1" si="20"/>
        <v>0.23383017648686635</v>
      </c>
      <c r="Z26">
        <f t="shared" ca="1" si="20"/>
        <v>0.41475448295401857</v>
      </c>
      <c r="AA26">
        <f t="shared" ca="1" si="20"/>
        <v>0.59453015875121351</v>
      </c>
      <c r="AB26">
        <f t="shared" ca="1" si="20"/>
        <v>0.71574364307963556</v>
      </c>
      <c r="AC26">
        <f t="shared" ca="1" si="20"/>
        <v>0.77770772897873208</v>
      </c>
      <c r="AD26">
        <f t="shared" ca="1" si="20"/>
        <v>0.80494878996918429</v>
      </c>
      <c r="AE26">
        <f t="shared" ca="1" si="20"/>
        <v>0.8161238136572766</v>
      </c>
      <c r="AF26">
        <f t="shared" ca="1" si="20"/>
        <v>0.82057513641890001</v>
      </c>
      <c r="AG26">
        <f t="shared" ca="1" si="20"/>
        <v>0.82232521699446071</v>
      </c>
      <c r="AH26">
        <f t="shared" ca="1" si="20"/>
        <v>0.82300757187582285</v>
      </c>
      <c r="AI26">
        <f t="shared" ca="1" si="20"/>
        <v>0.82327057747137455</v>
      </c>
      <c r="AM26" s="44"/>
    </row>
    <row r="27" spans="1:39">
      <c r="A27" t="s">
        <v>14</v>
      </c>
      <c r="B27" s="28">
        <f ca="1">fbar*C27</f>
        <v>0.23136867342543116</v>
      </c>
      <c r="C27" s="36">
        <f ca="1">CHOOSE(C$25,E36,E39,1)</f>
        <v>2.4687107857688702</v>
      </c>
      <c r="E27" s="42">
        <f ca="1">f1_/(F4/(365*re*phib))</f>
        <v>2068.8074717401319</v>
      </c>
      <c r="J27" s="8" t="s">
        <v>31</v>
      </c>
      <c r="K27">
        <f t="shared" ref="K27:AI27" ca="1" si="21">qa2_/wa</f>
        <v>6.4781658535834549E-3</v>
      </c>
      <c r="L27">
        <f t="shared" ca="1" si="21"/>
        <v>8.3641567023809565E-2</v>
      </c>
      <c r="M27">
        <f t="shared" ca="1" si="21"/>
        <v>0.56952468634146347</v>
      </c>
      <c r="N27">
        <f t="shared" ca="1" si="21"/>
        <v>0.90987106417298924</v>
      </c>
      <c r="O27">
        <f t="shared" ca="1" si="21"/>
        <v>0.87841025750607826</v>
      </c>
      <c r="P27">
        <f t="shared" ca="1" si="21"/>
        <v>0.64986187295998687</v>
      </c>
      <c r="Q27">
        <f t="shared" ca="1" si="21"/>
        <v>0.59421060102552348</v>
      </c>
      <c r="R27">
        <f t="shared" ca="1" si="21"/>
        <v>0.54351295861040294</v>
      </c>
      <c r="S27">
        <f t="shared" ca="1" si="21"/>
        <v>0.49875678340875673</v>
      </c>
      <c r="T27">
        <f t="shared" ca="1" si="21"/>
        <v>0.45810094970782633</v>
      </c>
      <c r="U27">
        <f t="shared" ca="1" si="21"/>
        <v>0.42068949440659753</v>
      </c>
      <c r="V27">
        <f t="shared" ca="1" si="21"/>
        <v>0.38598176792719735</v>
      </c>
      <c r="W27">
        <f t="shared" ca="1" si="21"/>
        <v>0.35337884089546373</v>
      </c>
      <c r="X27">
        <f t="shared" ca="1" si="21"/>
        <v>0.3220607437790749</v>
      </c>
      <c r="Y27">
        <f t="shared" ca="1" si="21"/>
        <v>0.29122449275679085</v>
      </c>
      <c r="Z27">
        <f t="shared" ca="1" si="21"/>
        <v>0.28441009862150834</v>
      </c>
      <c r="AA27">
        <f t="shared" ca="1" si="21"/>
        <v>0.27752885842517178</v>
      </c>
      <c r="AB27">
        <f t="shared" ca="1" si="21"/>
        <v>0.27282305902507897</v>
      </c>
      <c r="AC27">
        <f t="shared" ca="1" si="21"/>
        <v>0.27039581256214318</v>
      </c>
      <c r="AD27">
        <f t="shared" ca="1" si="21"/>
        <v>0.2693239517385892</v>
      </c>
      <c r="AE27">
        <f t="shared" ca="1" si="21"/>
        <v>0.26888338849635479</v>
      </c>
      <c r="AF27">
        <f t="shared" ca="1" si="21"/>
        <v>0.26870776019225151</v>
      </c>
      <c r="AG27">
        <f t="shared" ca="1" si="21"/>
        <v>0.26863868837134225</v>
      </c>
      <c r="AH27">
        <f t="shared" ca="1" si="21"/>
        <v>0.26861175398309717</v>
      </c>
      <c r="AI27">
        <f t="shared" ca="1" si="21"/>
        <v>0.26860137194120881</v>
      </c>
    </row>
    <row r="28" spans="1:39">
      <c r="A28" t="s">
        <v>15</v>
      </c>
      <c r="B28" s="28">
        <f ca="1">fbar*C28</f>
        <v>3.051295199439092E-2</v>
      </c>
      <c r="C28" s="36">
        <f ca="1">CHOOSE(C$25,E37,E40,1)</f>
        <v>0.32557412625905169</v>
      </c>
      <c r="E28" s="42">
        <f ca="1">f2_/(F5/(365*re*phib))</f>
        <v>794.19297180551712</v>
      </c>
      <c r="J28" s="8" t="s">
        <v>32</v>
      </c>
      <c r="K28">
        <f t="shared" ref="K28:AI28" ca="1" si="22">qa3_/wa</f>
        <v>5.967715988327326E-4</v>
      </c>
      <c r="L28">
        <f t="shared" ca="1" si="22"/>
        <v>2.1368560724370354E-3</v>
      </c>
      <c r="M28">
        <f t="shared" ca="1" si="22"/>
        <v>7.5758263302198722E-3</v>
      </c>
      <c r="N28">
        <f t="shared" ca="1" si="22"/>
        <v>2.6672197355570006E-2</v>
      </c>
      <c r="O28">
        <f t="shared" ca="1" si="22"/>
        <v>9.1183885694575889E-2</v>
      </c>
      <c r="P28">
        <f t="shared" ca="1" si="22"/>
        <v>3.054133040168297E-2</v>
      </c>
      <c r="Q28">
        <f t="shared" ca="1" si="22"/>
        <v>0.47656139927271479</v>
      </c>
      <c r="R28">
        <f t="shared" ca="1" si="22"/>
        <v>0.85675642532845697</v>
      </c>
      <c r="S28">
        <f t="shared" ca="1" si="22"/>
        <v>0.90884786147340102</v>
      </c>
      <c r="T28">
        <f t="shared" ca="1" si="22"/>
        <v>0.85419121908442308</v>
      </c>
      <c r="U28">
        <f t="shared" ca="1" si="22"/>
        <v>0.77689764184387444</v>
      </c>
      <c r="V28">
        <f t="shared" ca="1" si="22"/>
        <v>0.70005041163777737</v>
      </c>
      <c r="W28">
        <f t="shared" ca="1" si="22"/>
        <v>0.6281197320047015</v>
      </c>
      <c r="X28">
        <f t="shared" ca="1" si="22"/>
        <v>0.56072219364461195</v>
      </c>
      <c r="Y28">
        <f t="shared" ca="1" si="22"/>
        <v>0.49657848412799516</v>
      </c>
      <c r="Z28">
        <f t="shared" ca="1" si="22"/>
        <v>0.48495898922247815</v>
      </c>
      <c r="AA28">
        <f t="shared" ca="1" si="22"/>
        <v>0.47322551243530719</v>
      </c>
      <c r="AB28">
        <f t="shared" ca="1" si="22"/>
        <v>0.46520146641298304</v>
      </c>
      <c r="AC28">
        <f t="shared" ca="1" si="22"/>
        <v>0.46106267177466154</v>
      </c>
      <c r="AD28">
        <f t="shared" ca="1" si="22"/>
        <v>0.45923499918463273</v>
      </c>
      <c r="AE28">
        <f t="shared" ca="1" si="22"/>
        <v>0.4584837772495533</v>
      </c>
      <c r="AF28">
        <f t="shared" ca="1" si="22"/>
        <v>0.45818430643171104</v>
      </c>
      <c r="AG28">
        <f t="shared" ca="1" si="22"/>
        <v>0.4580665293182602</v>
      </c>
      <c r="AH28">
        <f t="shared" ca="1" si="22"/>
        <v>0.45802060241987652</v>
      </c>
      <c r="AI28">
        <f t="shared" ca="1" si="22"/>
        <v>0.45800289958666274</v>
      </c>
    </row>
    <row r="29" spans="1:39">
      <c r="A29" t="s">
        <v>19</v>
      </c>
      <c r="B29" s="28">
        <f ca="1">fbar*C29</f>
        <v>1.9279709588530026E-2</v>
      </c>
      <c r="C29" s="36">
        <f ca="1">CHOOSE(C$25,E38,E41,1)</f>
        <v>0.2057150879720781</v>
      </c>
      <c r="E29" s="42">
        <f ca="1">f3_/(F6/(365*re*phib))</f>
        <v>631.34490828123262</v>
      </c>
    </row>
    <row r="30" spans="1:39">
      <c r="A30" t="s">
        <v>95</v>
      </c>
      <c r="B30" s="28">
        <v>9.3720445002784036E-2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0.28116133500835211</v>
      </c>
      <c r="G31">
        <f ca="1">SUMPRODUCT(dlz1_,wa,ma)</f>
        <v>-18.730563594623561</v>
      </c>
      <c r="H31">
        <f ca="1">Ro/(reck-1)*phie/phif^2*dphif</f>
        <v>-5797.7360679793346</v>
      </c>
      <c r="J31" s="8" t="s">
        <v>52</v>
      </c>
      <c r="K31">
        <v>0</v>
      </c>
      <c r="L31">
        <f t="shared" ref="L31:AH31" ca="1" si="23">K31*sa-K$7*K18*K$10</f>
        <v>-5.9849312986596141E-7</v>
      </c>
      <c r="M31">
        <f t="shared" ca="1" si="23"/>
        <v>-1.8198339792479628E-6</v>
      </c>
      <c r="N31">
        <f t="shared" ca="1" si="23"/>
        <v>-4.3565028520090407E-6</v>
      </c>
      <c r="O31">
        <f t="shared" ca="1" si="23"/>
        <v>-9.6889292754461688E-6</v>
      </c>
      <c r="P31">
        <f t="shared" ca="1" si="23"/>
        <v>-2.1069081457514803E-5</v>
      </c>
      <c r="Q31">
        <f t="shared" ca="1" si="23"/>
        <v>-4.5389484485704737E-5</v>
      </c>
      <c r="R31">
        <f t="shared" ca="1" si="23"/>
        <v>-9.7013253816443613E-5</v>
      </c>
      <c r="S31">
        <f t="shared" ca="1" si="23"/>
        <v>-2.0641175121036885E-4</v>
      </c>
      <c r="T31">
        <f t="shared" ca="1" si="23"/>
        <v>-4.3865588017173609E-4</v>
      </c>
      <c r="U31">
        <f t="shared" ca="1" si="23"/>
        <v>-9.3216337103968385E-4</v>
      </c>
      <c r="V31">
        <f t="shared" ca="1" si="23"/>
        <v>-1.9778283395185787E-3</v>
      </c>
      <c r="W31">
        <f t="shared" ca="1" si="23"/>
        <v>-4.1667792667841267E-3</v>
      </c>
      <c r="X31">
        <f t="shared" ca="1" si="23"/>
        <v>-8.5973660096984907E-3</v>
      </c>
      <c r="Y31">
        <f t="shared" ca="1" si="23"/>
        <v>-1.6868500769032846E-2</v>
      </c>
      <c r="Z31">
        <f t="shared" ca="1" si="23"/>
        <v>-2.9871161324068536E-2</v>
      </c>
      <c r="AA31">
        <f t="shared" ca="1" si="23"/>
        <v>-4.4923558214718343E-2</v>
      </c>
      <c r="AB31">
        <f t="shared" ca="1" si="23"/>
        <v>-5.5830128163579212E-2</v>
      </c>
      <c r="AC31">
        <f t="shared" ca="1" si="23"/>
        <v>-5.8856713190953244E-2</v>
      </c>
      <c r="AD31">
        <f t="shared" ca="1" si="23"/>
        <v>-5.5202827076633362E-2</v>
      </c>
      <c r="AE31">
        <f t="shared" ca="1" si="23"/>
        <v>-4.7921078270591888E-2</v>
      </c>
      <c r="AF31">
        <f t="shared" ca="1" si="23"/>
        <v>-3.9513057592652903E-2</v>
      </c>
      <c r="AG31">
        <f t="shared" ca="1" si="23"/>
        <v>-3.1444846995715245E-2</v>
      </c>
      <c r="AH31">
        <f t="shared" ca="1" si="23"/>
        <v>-2.4393982544062574E-2</v>
      </c>
      <c r="AI31">
        <f ca="1">(AH31*sa-AH$7*AH18*AH$10)/oa-AH$7*AH$10*flt1_*sa/oa^2</f>
        <v>-6.981604268319816E-2</v>
      </c>
    </row>
    <row r="32" spans="1:39">
      <c r="A32" s="12" t="s">
        <v>22</v>
      </c>
      <c r="B32" s="12"/>
      <c r="C32" s="12"/>
      <c r="G32">
        <f ca="1">SUMPRODUCT(dlz2_,wa,ma)</f>
        <v>-114.94766458553539</v>
      </c>
      <c r="H32">
        <f ca="1">Ro/(reck-1)*phie/phif^2*dphif</f>
        <v>-35580.147790579234</v>
      </c>
      <c r="J32" s="8" t="s">
        <v>53</v>
      </c>
      <c r="K32">
        <v>0</v>
      </c>
      <c r="L32">
        <f t="shared" ref="L32:AH32" ca="1" si="24">K32*sa-K$7*K19*K$10</f>
        <v>-6.0037517173000881E-3</v>
      </c>
      <c r="M32">
        <f t="shared" ca="1" si="24"/>
        <v>-7.1685933434607094E-2</v>
      </c>
      <c r="N32">
        <f t="shared" ca="1" si="24"/>
        <v>-0.44591039916806419</v>
      </c>
      <c r="O32">
        <f t="shared" ca="1" si="24"/>
        <v>-0.88970460772647075</v>
      </c>
      <c r="P32">
        <f t="shared" ca="1" si="24"/>
        <v>-1.1659535011020421</v>
      </c>
      <c r="Q32">
        <f t="shared" ca="1" si="24"/>
        <v>-1.2325627212481556</v>
      </c>
      <c r="R32">
        <f t="shared" ca="1" si="24"/>
        <v>-1.2211963221592321</v>
      </c>
      <c r="S32">
        <f t="shared" ca="1" si="24"/>
        <v>-1.1647129453311673</v>
      </c>
      <c r="T32">
        <f t="shared" ca="1" si="24"/>
        <v>-1.0838732152689197</v>
      </c>
      <c r="U32">
        <f t="shared" ca="1" si="24"/>
        <v>-0.9909854952636874</v>
      </c>
      <c r="V32">
        <f t="shared" ca="1" si="24"/>
        <v>-0.8928158941110832</v>
      </c>
      <c r="W32">
        <f t="shared" ca="1" si="24"/>
        <v>-0.79183741984527045</v>
      </c>
      <c r="X32">
        <f t="shared" ca="1" si="24"/>
        <v>-0.68671406496045884</v>
      </c>
      <c r="Y32">
        <f t="shared" ca="1" si="24"/>
        <v>-0.57422680416153993</v>
      </c>
      <c r="Z32">
        <f t="shared" ca="1" si="24"/>
        <v>-0.45500797890045469</v>
      </c>
      <c r="AA32">
        <f t="shared" ca="1" si="24"/>
        <v>-0.34246054854446101</v>
      </c>
      <c r="AB32">
        <f t="shared" ca="1" si="24"/>
        <v>-0.24842025717364868</v>
      </c>
      <c r="AC32">
        <f t="shared" ca="1" si="24"/>
        <v>-0.17656756294099346</v>
      </c>
      <c r="AD32">
        <f t="shared" ca="1" si="24"/>
        <v>-0.12422637486513738</v>
      </c>
      <c r="AE32">
        <f t="shared" ca="1" si="24"/>
        <v>-8.6941857235503711E-2</v>
      </c>
      <c r="AF32">
        <f t="shared" ca="1" si="24"/>
        <v>-6.0658896907458279E-2</v>
      </c>
      <c r="AG32">
        <f t="shared" ca="1" si="24"/>
        <v>-4.2230160034784081E-2</v>
      </c>
      <c r="AH32">
        <f t="shared" ca="1" si="24"/>
        <v>-2.9349916034850584E-2</v>
      </c>
      <c r="AI32">
        <f ca="1">(AH32*sa-AH$7*AH19*AH$10)/oa-AH$7*AH$10*flt2_*sa/oa^2</f>
        <v>-6.6009823899819103E-2</v>
      </c>
    </row>
    <row r="33" spans="1:35">
      <c r="A33" s="61" t="s">
        <v>130</v>
      </c>
      <c r="B33" s="62">
        <f ca="1">SUMPRODUCT(lz,wa)</f>
        <v>35.534590272226147</v>
      </c>
      <c r="C33" s="61"/>
      <c r="D33" s="63"/>
      <c r="E33" s="63"/>
      <c r="G33">
        <f ca="1">SUMPRODUCT(dlz3_,wa,ma)</f>
        <v>-101.23402031314232</v>
      </c>
      <c r="H33">
        <f ca="1">Ro/(reck-1)*phie/phif^2*dphif</f>
        <v>-31335.316095054943</v>
      </c>
      <c r="J33" s="8" t="s">
        <v>54</v>
      </c>
      <c r="K33">
        <v>0</v>
      </c>
      <c r="L33">
        <f t="shared" ref="L33:AH33" ca="1" si="25">K33*sa-K$7*K20*K$10</f>
        <v>-5.5306835179992219E-4</v>
      </c>
      <c r="M33">
        <f t="shared" ca="1" si="25"/>
        <v>-2.1689383030539765E-3</v>
      </c>
      <c r="N33">
        <f t="shared" ca="1" si="25"/>
        <v>-6.9457420632157655E-3</v>
      </c>
      <c r="O33">
        <f t="shared" ca="1" si="25"/>
        <v>-2.0970651547716469E-2</v>
      </c>
      <c r="P33">
        <f t="shared" ca="1" si="25"/>
        <v>-6.0941942985024602E-2</v>
      </c>
      <c r="Q33">
        <f t="shared" ca="1" si="25"/>
        <v>-6.3060457216131058E-2</v>
      </c>
      <c r="R33">
        <f t="shared" ca="1" si="25"/>
        <v>-0.21132599163520965</v>
      </c>
      <c r="S33">
        <f t="shared" ca="1" si="25"/>
        <v>-0.41339839458566574</v>
      </c>
      <c r="T33">
        <f t="shared" ca="1" si="25"/>
        <v>-0.5534266475767643</v>
      </c>
      <c r="U33">
        <f t="shared" ca="1" si="25"/>
        <v>-0.62483966900021848</v>
      </c>
      <c r="V33">
        <f t="shared" ca="1" si="25"/>
        <v>-0.6445601163175545</v>
      </c>
      <c r="W33">
        <f t="shared" ca="1" si="25"/>
        <v>-0.62767364099359324</v>
      </c>
      <c r="X33">
        <f t="shared" ca="1" si="25"/>
        <v>-0.58279749175730078</v>
      </c>
      <c r="Y33">
        <f t="shared" ca="1" si="25"/>
        <v>-0.51348278634401145</v>
      </c>
      <c r="Z33">
        <f t="shared" ca="1" si="25"/>
        <v>-0.42417778842475828</v>
      </c>
      <c r="AA33">
        <f t="shared" ca="1" si="25"/>
        <v>-0.33171074640276244</v>
      </c>
      <c r="AB33">
        <f t="shared" ca="1" si="25"/>
        <v>-0.24913479693990356</v>
      </c>
      <c r="AC33">
        <f t="shared" ca="1" si="25"/>
        <v>-0.18268913375947599</v>
      </c>
      <c r="AD33">
        <f t="shared" ca="1" si="25"/>
        <v>-0.13217018884428661</v>
      </c>
      <c r="AE33">
        <f t="shared" ca="1" si="25"/>
        <v>-9.4841672754075554E-2</v>
      </c>
      <c r="AF33">
        <f t="shared" ca="1" si="25"/>
        <v>-6.7673766812342814E-2</v>
      </c>
      <c r="AG33">
        <f t="shared" ca="1" si="25"/>
        <v>-4.8079714551203065E-2</v>
      </c>
      <c r="AH33">
        <f t="shared" ca="1" si="25"/>
        <v>-3.4036611907014472E-2</v>
      </c>
      <c r="AI33">
        <f ca="1">(AH33*sa-AH$7*AH20*AH$10)/oa-AH$7*AH$10*flt3_*sa/oa^2</f>
        <v>-8.0202087885932416E-2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17.137594381965432</v>
      </c>
      <c r="F35" s="37"/>
      <c r="G35" s="1">
        <f ca="1">SUM(dqa11_)</f>
        <v>284.46034083162266</v>
      </c>
      <c r="H35" s="1">
        <f ca="1">SUM(dqa12_)</f>
        <v>285.56127561430549</v>
      </c>
      <c r="I35" s="11">
        <f ca="1">SUM(dqa13_)</f>
        <v>284.89492682426919</v>
      </c>
      <c r="J35" s="8" t="s">
        <v>62</v>
      </c>
      <c r="K35">
        <f ca="1">flt1_*qa1_+lz*wa*flt1_^2/za*(sa-oa/za)</f>
        <v>1.1785044761033984E-14</v>
      </c>
      <c r="L35">
        <f t="shared" ref="L35:AI35" ca="1" si="26">flt1_*qa1_+lz*wa*flt1_^2/za*(sa-oa/za)</f>
        <v>5.0045472303288166E-13</v>
      </c>
      <c r="M35">
        <f t="shared" ca="1" si="26"/>
        <v>1.0004913998341549E-11</v>
      </c>
      <c r="N35">
        <f t="shared" ca="1" si="26"/>
        <v>1.4427475404877186E-10</v>
      </c>
      <c r="O35">
        <f t="shared" ca="1" si="26"/>
        <v>1.7271019116343774E-9</v>
      </c>
      <c r="P35">
        <f t="shared" ca="1" si="26"/>
        <v>1.8264294840193049E-8</v>
      </c>
      <c r="Q35">
        <f t="shared" ca="1" si="26"/>
        <v>1.7492782927960357E-7</v>
      </c>
      <c r="R35">
        <f t="shared" ca="1" si="26"/>
        <v>1.571543083717337E-6</v>
      </c>
      <c r="S35">
        <f t="shared" ca="1" si="26"/>
        <v>1.3463534962750554E-5</v>
      </c>
      <c r="T35">
        <f t="shared" ca="1" si="26"/>
        <v>1.1064470327149371E-4</v>
      </c>
      <c r="U35">
        <f t="shared" ca="1" si="26"/>
        <v>8.7489417238233906E-4</v>
      </c>
      <c r="V35">
        <f t="shared" ca="1" si="26"/>
        <v>6.6295719776528457E-3</v>
      </c>
      <c r="W35">
        <f t="shared" ca="1" si="26"/>
        <v>4.7218988023942469E-2</v>
      </c>
      <c r="X35">
        <f t="shared" ca="1" si="26"/>
        <v>0.30041549839253989</v>
      </c>
      <c r="Y35">
        <f t="shared" ca="1" si="26"/>
        <v>1.5402243110790532</v>
      </c>
      <c r="Z35">
        <f t="shared" ca="1" si="26"/>
        <v>5.520805874531475</v>
      </c>
      <c r="AA35">
        <f t="shared" ca="1" si="26"/>
        <v>12.795843279380355</v>
      </c>
      <c r="AB35">
        <f t="shared" ca="1" si="26"/>
        <v>20.557488631432065</v>
      </c>
      <c r="AC35">
        <f t="shared" ca="1" si="26"/>
        <v>26.437631069358041</v>
      </c>
      <c r="AD35">
        <f t="shared" ca="1" si="26"/>
        <v>30.443054316266771</v>
      </c>
      <c r="AE35">
        <f t="shared" ca="1" si="26"/>
        <v>33.318016930238834</v>
      </c>
      <c r="AF35">
        <f t="shared" ca="1" si="26"/>
        <v>35.603786832136379</v>
      </c>
      <c r="AG35">
        <f t="shared" ca="1" si="26"/>
        <v>37.578169574048005</v>
      </c>
      <c r="AH35">
        <f t="shared" ca="1" si="26"/>
        <v>39.367997474207279</v>
      </c>
      <c r="AI35">
        <f t="shared" ca="1" si="26"/>
        <v>40.942057711522558</v>
      </c>
    </row>
    <row r="36" spans="1:35">
      <c r="A36" t="s">
        <v>33</v>
      </c>
      <c r="B36" s="1">
        <f ca="1">SUMPRODUCT(lz,ta1_)</f>
        <v>0.18345118237119556</v>
      </c>
      <c r="C36" s="29">
        <f ca="1">B11/(phi_t1/SUM(B$36:B$38))</f>
        <v>6.5623040898604899</v>
      </c>
      <c r="E36" s="38">
        <f ca="1">C36/AVERAGE(C$36:C$38)</f>
        <v>2.4687107857688702</v>
      </c>
      <c r="G36" s="1">
        <f ca="1">SUM(dqa21_)</f>
        <v>285.56127561430549</v>
      </c>
      <c r="H36" s="1">
        <f ca="1">SUM(dqa22_)</f>
        <v>62.045111611467092</v>
      </c>
      <c r="I36" s="11">
        <f ca="1">SUM(dqa23_)</f>
        <v>282.15122149155047</v>
      </c>
      <c r="J36" s="8" t="s">
        <v>63</v>
      </c>
      <c r="K36">
        <f t="shared" ref="K36:AI36" ca="1" si="27">flt2_*qa2_+lz*wa*flt2_^2/za*(sa-oa/za)</f>
        <v>1.1859280605725982E-6</v>
      </c>
      <c r="L36">
        <f t="shared" ca="1" si="27"/>
        <v>1.2854328954155381E-3</v>
      </c>
      <c r="M36">
        <f t="shared" ca="1" si="27"/>
        <v>0.18518693418885956</v>
      </c>
      <c r="N36">
        <f t="shared" ca="1" si="27"/>
        <v>1.054861368496455</v>
      </c>
      <c r="O36">
        <f t="shared" ca="1" si="27"/>
        <v>1.8012423780215292</v>
      </c>
      <c r="P36">
        <f t="shared" ca="1" si="27"/>
        <v>1.5813184392039363</v>
      </c>
      <c r="Q36">
        <f t="shared" ca="1" si="27"/>
        <v>1.9521164904348813</v>
      </c>
      <c r="R36">
        <f t="shared" ca="1" si="27"/>
        <v>2.2603555095004895</v>
      </c>
      <c r="S36">
        <f t="shared" ca="1" si="27"/>
        <v>2.4980975579280877</v>
      </c>
      <c r="T36">
        <f t="shared" ca="1" si="27"/>
        <v>2.6547429976599526</v>
      </c>
      <c r="U36">
        <f t="shared" ca="1" si="27"/>
        <v>2.7311236688337472</v>
      </c>
      <c r="V36">
        <f t="shared" ca="1" si="27"/>
        <v>2.7344080161739748</v>
      </c>
      <c r="W36">
        <f t="shared" ca="1" si="27"/>
        <v>2.6735304202258279</v>
      </c>
      <c r="X36">
        <f t="shared" ca="1" si="27"/>
        <v>2.556112408003163</v>
      </c>
      <c r="Y36">
        <f t="shared" ca="1" si="27"/>
        <v>2.389123797204578</v>
      </c>
      <c r="Z36">
        <f t="shared" ca="1" si="27"/>
        <v>2.5960336924980063</v>
      </c>
      <c r="AA36">
        <f t="shared" ca="1" si="27"/>
        <v>2.7882867237277074</v>
      </c>
      <c r="AB36">
        <f t="shared" ca="1" si="27"/>
        <v>2.9868761016042908</v>
      </c>
      <c r="AC36">
        <f t="shared" ca="1" si="27"/>
        <v>3.1958738714324948</v>
      </c>
      <c r="AD36">
        <f t="shared" ca="1" si="27"/>
        <v>3.4080163931431335</v>
      </c>
      <c r="AE36">
        <f t="shared" ca="1" si="27"/>
        <v>3.6165542904629038</v>
      </c>
      <c r="AF36">
        <f t="shared" ca="1" si="27"/>
        <v>3.8178591544848919</v>
      </c>
      <c r="AG36">
        <f t="shared" ca="1" si="27"/>
        <v>4.0103799649581466</v>
      </c>
      <c r="AH36">
        <f t="shared" ca="1" si="27"/>
        <v>4.1935872954763003</v>
      </c>
      <c r="AI36">
        <f t="shared" ca="1" si="27"/>
        <v>4.3581375189802634</v>
      </c>
    </row>
    <row r="37" spans="1:35">
      <c r="A37" t="s">
        <v>34</v>
      </c>
      <c r="B37" s="1">
        <f ca="1">SUMPRODUCT(lz,ta2_)</f>
        <v>2.7033553615950812</v>
      </c>
      <c r="C37" s="29">
        <f ca="1">B12/(phi_t2/SUM(B$36:B$38))</f>
        <v>0.86543811961234685</v>
      </c>
      <c r="E37" s="38">
        <f ca="1">C37/AVERAGE(C$36:C$38)</f>
        <v>0.32557412625905169</v>
      </c>
      <c r="G37" s="1">
        <f ca="1">SUM(dqa31_)</f>
        <v>284.89492682426919</v>
      </c>
      <c r="H37" s="1">
        <f ca="1">SUM(dqa32_)</f>
        <v>282.15122149155047</v>
      </c>
      <c r="I37" s="1">
        <f ca="1">SUM(dqa33_)</f>
        <v>167.55143552971808</v>
      </c>
      <c r="J37" s="8" t="s">
        <v>64</v>
      </c>
      <c r="K37">
        <f t="shared" ref="K37:AI37" ca="1" si="28">flt3_*qa3_+lz*wa*flt3_^2/za*(sa-oa/za)</f>
        <v>1.0063997322180162E-8</v>
      </c>
      <c r="L37">
        <f t="shared" ca="1" si="28"/>
        <v>8.3898777151181684E-7</v>
      </c>
      <c r="M37">
        <f t="shared" ca="1" si="28"/>
        <v>3.2767646918637657E-5</v>
      </c>
      <c r="N37">
        <f t="shared" ca="1" si="28"/>
        <v>9.0646965901361215E-4</v>
      </c>
      <c r="O37">
        <f t="shared" ca="1" si="28"/>
        <v>1.9409464317096854E-2</v>
      </c>
      <c r="P37">
        <f t="shared" ca="1" si="28"/>
        <v>3.4926343577922729E-3</v>
      </c>
      <c r="Q37">
        <f t="shared" ca="1" si="28"/>
        <v>1.2556328335014704</v>
      </c>
      <c r="R37">
        <f t="shared" ca="1" si="28"/>
        <v>5.6165765777382104</v>
      </c>
      <c r="S37">
        <f t="shared" ca="1" si="28"/>
        <v>8.2949570814319777</v>
      </c>
      <c r="T37">
        <f t="shared" ca="1" si="28"/>
        <v>9.2301828607219711</v>
      </c>
      <c r="U37">
        <f t="shared" ca="1" si="28"/>
        <v>9.3142017090286409</v>
      </c>
      <c r="V37">
        <f t="shared" ca="1" si="28"/>
        <v>8.9947348828146669</v>
      </c>
      <c r="W37">
        <f t="shared" ca="1" si="28"/>
        <v>8.4467359802053217</v>
      </c>
      <c r="X37">
        <f t="shared" ca="1" si="28"/>
        <v>7.7481827835967314</v>
      </c>
      <c r="Y37">
        <f t="shared" ca="1" si="28"/>
        <v>6.9463818935518189</v>
      </c>
      <c r="Z37">
        <f t="shared" ca="1" si="28"/>
        <v>7.5479727997847528</v>
      </c>
      <c r="AA37">
        <f t="shared" ca="1" si="28"/>
        <v>8.1069488464329087</v>
      </c>
      <c r="AB37">
        <f t="shared" ca="1" si="28"/>
        <v>8.6843478327674379</v>
      </c>
      <c r="AC37">
        <f t="shared" ca="1" si="28"/>
        <v>9.2920092381019028</v>
      </c>
      <c r="AD37">
        <f t="shared" ca="1" si="28"/>
        <v>9.908814015396171</v>
      </c>
      <c r="AE37">
        <f t="shared" ca="1" si="28"/>
        <v>10.515138340555188</v>
      </c>
      <c r="AF37">
        <f t="shared" ca="1" si="28"/>
        <v>11.100432607918979</v>
      </c>
      <c r="AG37">
        <f t="shared" ca="1" si="28"/>
        <v>11.660187223216893</v>
      </c>
      <c r="AH37">
        <f t="shared" ca="1" si="28"/>
        <v>12.192862878185595</v>
      </c>
      <c r="AI37">
        <f t="shared" ca="1" si="28"/>
        <v>12.671292959734846</v>
      </c>
    </row>
    <row r="38" spans="1:35">
      <c r="A38" t="s">
        <v>35</v>
      </c>
      <c r="B38" s="1">
        <f ca="1">SUMPRODUCT(lz,ta3_)</f>
        <v>1.4489983664255564</v>
      </c>
      <c r="C38" s="29">
        <f ca="1">B13/(phi_t3/SUM(B$36:B$38))</f>
        <v>0.54682993687522508</v>
      </c>
      <c r="E38" s="38">
        <f ca="1">C38/AVERAGE(C$36:C$38)</f>
        <v>0.2057150879720781</v>
      </c>
      <c r="G38" t="s">
        <v>69</v>
      </c>
      <c r="J38" s="8" t="s">
        <v>60</v>
      </c>
      <c r="K38">
        <f t="shared" ref="K38:AI38" ca="1" si="29">flt1_*qa1_+lz*wa*flt2_*flt1_/za*(sa-oa/za)</f>
        <v>-1.1242483194254135E-10</v>
      </c>
      <c r="L38">
        <f t="shared" ca="1" si="29"/>
        <v>-1.8313328317677188E-8</v>
      </c>
      <c r="M38">
        <f t="shared" ca="1" si="29"/>
        <v>-7.6196453252425077E-7</v>
      </c>
      <c r="N38">
        <f t="shared" ca="1" si="29"/>
        <v>-5.3489467171812622E-6</v>
      </c>
      <c r="O38">
        <f t="shared" ca="1" si="29"/>
        <v>-1.8827166519388479E-5</v>
      </c>
      <c r="P38">
        <f t="shared" ca="1" si="29"/>
        <v>-4.5391535127861388E-5</v>
      </c>
      <c r="Q38">
        <f t="shared" ca="1" si="29"/>
        <v>-1.2570443199559801E-4</v>
      </c>
      <c r="R38">
        <f t="shared" ca="1" si="29"/>
        <v>-3.2535851510252767E-4</v>
      </c>
      <c r="S38">
        <f t="shared" ca="1" si="29"/>
        <v>-7.9632496601537289E-4</v>
      </c>
      <c r="T38">
        <f t="shared" ca="1" si="29"/>
        <v>-1.8225434611578511E-3</v>
      </c>
      <c r="U38">
        <f t="shared" ca="1" si="29"/>
        <v>-3.5755104909790548E-3</v>
      </c>
      <c r="V38">
        <f t="shared" ca="1" si="29"/>
        <v>-3.1087565583941814E-3</v>
      </c>
      <c r="W38">
        <f t="shared" ca="1" si="29"/>
        <v>2.7951179692246836E-2</v>
      </c>
      <c r="X38">
        <f t="shared" ca="1" si="29"/>
        <v>0.2709325822998479</v>
      </c>
      <c r="Y38">
        <f t="shared" ca="1" si="29"/>
        <v>1.5246247310531464</v>
      </c>
      <c r="Z38">
        <f t="shared" ca="1" si="29"/>
        <v>5.5766388250264782</v>
      </c>
      <c r="AA38">
        <f t="shared" ca="1" si="29"/>
        <v>12.958847969988261</v>
      </c>
      <c r="AB38">
        <f t="shared" ca="1" si="29"/>
        <v>20.772616489284918</v>
      </c>
      <c r="AC38">
        <f t="shared" ca="1" si="29"/>
        <v>26.637611419841505</v>
      </c>
      <c r="AD38">
        <f t="shared" ca="1" si="29"/>
        <v>30.601622580028707</v>
      </c>
      <c r="AE38">
        <f t="shared" ca="1" si="29"/>
        <v>33.435308754730812</v>
      </c>
      <c r="AF38">
        <f t="shared" ca="1" si="29"/>
        <v>35.687908957920278</v>
      </c>
      <c r="AG38">
        <f t="shared" ca="1" si="29"/>
        <v>37.637610999787917</v>
      </c>
      <c r="AH38">
        <f t="shared" ca="1" si="29"/>
        <v>39.4096538430463</v>
      </c>
      <c r="AI38">
        <f t="shared" ca="1" si="29"/>
        <v>41.029771828067339</v>
      </c>
    </row>
    <row r="39" spans="1:35">
      <c r="A39" s="1" t="s">
        <v>36</v>
      </c>
      <c r="B39" s="1">
        <f ca="1">SUMPRODUCT(lz,qa1_)</f>
        <v>6.0132899594415212</v>
      </c>
      <c r="C39" s="23">
        <f ca="1">B4/(phi_q1/SUM(B$39:B$41))</f>
        <v>4.1543279587904163</v>
      </c>
      <c r="D39" s="21"/>
      <c r="E39" s="39">
        <f ca="1">C39/AVERAGE(C$39:C$41)</f>
        <v>2.4395992117376299</v>
      </c>
      <c r="G39" s="1">
        <f ca="1">re*phi_q1+f1_*phi_q1*$H31+f1_*re*G35</f>
        <v>1439831.3215999324</v>
      </c>
      <c r="H39" s="1">
        <f ca="1">re*phi_q1+f1_*phi_q1*$H32+f1_*re*H35</f>
        <v>1403530.048613905</v>
      </c>
      <c r="I39" s="1">
        <f ca="1">re*phi_q1+f1_*phi_q1*$H33+f1_*re*I35</f>
        <v>1406328.0692272875</v>
      </c>
      <c r="J39" s="8" t="s">
        <v>66</v>
      </c>
      <c r="K39">
        <f t="shared" ref="K39:AI39" ca="1" si="30">flt1_*qa1_+lz*wa*flt3_*flt1_/za*(sa-oa/za)</f>
        <v>-1.0335750588048062E-11</v>
      </c>
      <c r="L39">
        <f t="shared" ca="1" si="30"/>
        <v>-4.6702501986264028E-10</v>
      </c>
      <c r="M39">
        <f t="shared" ca="1" si="30"/>
        <v>-1.0120266125018464E-8</v>
      </c>
      <c r="N39">
        <f t="shared" ca="1" si="30"/>
        <v>-1.5659964766600848E-7</v>
      </c>
      <c r="O39">
        <f t="shared" ca="1" si="30"/>
        <v>-1.9522945765212028E-6</v>
      </c>
      <c r="P39">
        <f t="shared" ca="1" si="30"/>
        <v>-2.1111927269574571E-6</v>
      </c>
      <c r="Q39">
        <f t="shared" ca="1" si="30"/>
        <v>-1.0077380852509835E-4</v>
      </c>
      <c r="R39">
        <f t="shared" ca="1" si="30"/>
        <v>-5.1393574283516391E-4</v>
      </c>
      <c r="S39">
        <f t="shared" ca="1" si="30"/>
        <v>-1.4637039278727014E-3</v>
      </c>
      <c r="T39">
        <f t="shared" ca="1" si="30"/>
        <v>-3.5049073677134246E-3</v>
      </c>
      <c r="U39">
        <f t="shared" ca="1" si="30"/>
        <v>-7.4124516165414416E-3</v>
      </c>
      <c r="V39">
        <f t="shared" ca="1" si="30"/>
        <v>-1.1443091456051008E-2</v>
      </c>
      <c r="W39">
        <f t="shared" ca="1" si="30"/>
        <v>1.0675128568615876E-2</v>
      </c>
      <c r="X39">
        <f t="shared" ca="1" si="30"/>
        <v>0.23768705605762702</v>
      </c>
      <c r="Y39">
        <f t="shared" ca="1" si="30"/>
        <v>1.4688102143862209</v>
      </c>
      <c r="Z39">
        <f t="shared" ca="1" si="30"/>
        <v>5.4907338101070202</v>
      </c>
      <c r="AA39">
        <f t="shared" ca="1" si="30"/>
        <v>12.858219131850639</v>
      </c>
      <c r="AB39">
        <f t="shared" ca="1" si="30"/>
        <v>20.679177719066448</v>
      </c>
      <c r="AC39">
        <f t="shared" ca="1" si="30"/>
        <v>26.562451298233814</v>
      </c>
      <c r="AD39">
        <f t="shared" ca="1" si="30"/>
        <v>30.545400644611728</v>
      </c>
      <c r="AE39">
        <f t="shared" ca="1" si="30"/>
        <v>33.394671085255439</v>
      </c>
      <c r="AF39">
        <f t="shared" ca="1" si="30"/>
        <v>35.659026710948481</v>
      </c>
      <c r="AG39">
        <f t="shared" ca="1" si="30"/>
        <v>37.617274834180421</v>
      </c>
      <c r="AH39">
        <f t="shared" ca="1" si="30"/>
        <v>39.395421980905191</v>
      </c>
      <c r="AI39">
        <f t="shared" ca="1" si="30"/>
        <v>40.999820304701672</v>
      </c>
    </row>
    <row r="40" spans="1:35">
      <c r="A40" s="1" t="s">
        <v>37</v>
      </c>
      <c r="B40" s="1">
        <f ca="1">SUMPRODUCT(lz,qa2_)</f>
        <v>15.664126527776597</v>
      </c>
      <c r="C40" s="23">
        <f ca="1">B5/(phi_q2/SUM(B$39:B$41))</f>
        <v>0.59477037322197712</v>
      </c>
      <c r="D40" s="21"/>
      <c r="E40" s="39">
        <f ca="1">C40/AVERAGE(C$39:C$41)</f>
        <v>0.34927462349402677</v>
      </c>
      <c r="G40" s="1">
        <f ca="1">re*phi_q1+f1_*phi_q1*$H32+f1_*re*G36</f>
        <v>1403530.048613905</v>
      </c>
      <c r="H40" s="1">
        <f ca="1">re*phi_q2+f2_*phi_q2*$H32+f2_*re*H36</f>
        <v>336909.12595791556</v>
      </c>
      <c r="I40" s="1">
        <f ca="1">re*phi_q3+f3_*phi_q3*$H33+f3_*re*I36</f>
        <v>494947.12731957517</v>
      </c>
      <c r="J40" s="8" t="s">
        <v>65</v>
      </c>
      <c r="K40">
        <f t="shared" ref="K40:AI40" ca="1" si="31">flt1_*qa1_+lz*wa*flt1_*flt2_/za*(sa-oa/za)</f>
        <v>-1.1242483194254133E-10</v>
      </c>
      <c r="L40">
        <f t="shared" ca="1" si="31"/>
        <v>-1.8313328317677188E-8</v>
      </c>
      <c r="M40">
        <f t="shared" ca="1" si="31"/>
        <v>-7.6196453252425066E-7</v>
      </c>
      <c r="N40">
        <f t="shared" ca="1" si="31"/>
        <v>-5.3489467171812622E-6</v>
      </c>
      <c r="O40">
        <f t="shared" ca="1" si="31"/>
        <v>-1.8827166519388479E-5</v>
      </c>
      <c r="P40">
        <f t="shared" ca="1" si="31"/>
        <v>-4.5391535127861388E-5</v>
      </c>
      <c r="Q40">
        <f t="shared" ca="1" si="31"/>
        <v>-1.2570443199559804E-4</v>
      </c>
      <c r="R40">
        <f t="shared" ca="1" si="31"/>
        <v>-3.2535851510252767E-4</v>
      </c>
      <c r="S40">
        <f t="shared" ca="1" si="31"/>
        <v>-7.9632496601537311E-4</v>
      </c>
      <c r="T40">
        <f t="shared" ca="1" si="31"/>
        <v>-1.8225434611578511E-3</v>
      </c>
      <c r="U40">
        <f t="shared" ca="1" si="31"/>
        <v>-3.5755104909790539E-3</v>
      </c>
      <c r="V40">
        <f t="shared" ca="1" si="31"/>
        <v>-3.1087565583941814E-3</v>
      </c>
      <c r="W40">
        <f t="shared" ca="1" si="31"/>
        <v>2.7951179692246836E-2</v>
      </c>
      <c r="X40">
        <f t="shared" ca="1" si="31"/>
        <v>0.2709325822998479</v>
      </c>
      <c r="Y40">
        <f t="shared" ca="1" si="31"/>
        <v>1.5246247310531464</v>
      </c>
      <c r="Z40">
        <f t="shared" ca="1" si="31"/>
        <v>5.5766388250264782</v>
      </c>
      <c r="AA40">
        <f t="shared" ca="1" si="31"/>
        <v>12.958847969988261</v>
      </c>
      <c r="AB40">
        <f t="shared" ca="1" si="31"/>
        <v>20.772616489284914</v>
      </c>
      <c r="AC40">
        <f t="shared" ca="1" si="31"/>
        <v>26.637611419841505</v>
      </c>
      <c r="AD40">
        <f t="shared" ca="1" si="31"/>
        <v>30.601622580028707</v>
      </c>
      <c r="AE40">
        <f t="shared" ca="1" si="31"/>
        <v>33.435308754730812</v>
      </c>
      <c r="AF40">
        <f t="shared" ca="1" si="31"/>
        <v>35.687908957920278</v>
      </c>
      <c r="AG40">
        <f t="shared" ca="1" si="31"/>
        <v>37.637610999787917</v>
      </c>
      <c r="AH40">
        <f t="shared" ca="1" si="31"/>
        <v>39.4096538430463</v>
      </c>
      <c r="AI40">
        <f t="shared" ca="1" si="31"/>
        <v>41.029771828067339</v>
      </c>
    </row>
    <row r="41" spans="1:35">
      <c r="A41" s="1" t="s">
        <v>38</v>
      </c>
      <c r="B41" s="1">
        <f ca="1">SUMPRODUCT(lz,qa3_)</f>
        <v>19.704505468651028</v>
      </c>
      <c r="C41" s="23">
        <f ca="1">B6/(phi_q3/SUM(B$39:B$41))</f>
        <v>0.3595210741622622</v>
      </c>
      <c r="D41" s="21"/>
      <c r="E41" s="39">
        <f ca="1">C41/AVERAGE(C$39:C$41)</f>
        <v>0.21112616476834334</v>
      </c>
      <c r="G41" s="1">
        <f ca="1">re*phi_q1+f1_*phi_q1*$H33+f1_*re*G37</f>
        <v>1406328.0692272875</v>
      </c>
      <c r="H41" s="1">
        <f ca="1">re*phi_q3+f3_*phi_q3*$H33+f3_*re*H37</f>
        <v>494947.12731957517</v>
      </c>
      <c r="I41" s="1">
        <f ca="1">re*phi_q3+f1_*phi_q3*$H33+f3_*re*I37</f>
        <v>319456.00268035015</v>
      </c>
      <c r="J41" s="8" t="s">
        <v>67</v>
      </c>
      <c r="K41">
        <f t="shared" ref="K41:AI41" ca="1" si="32">flt1_*qa1_+lz*wa*flt3_*flt2_/za*(sa-oa/za)</f>
        <v>-1.0391317328700796E-7</v>
      </c>
      <c r="L41">
        <f t="shared" ca="1" si="32"/>
        <v>-2.3712815499796218E-5</v>
      </c>
      <c r="M41">
        <f t="shared" ca="1" si="32"/>
        <v>-1.3789851646182211E-3</v>
      </c>
      <c r="N41">
        <f t="shared" ca="1" si="32"/>
        <v>-1.340807784576368E-2</v>
      </c>
      <c r="O41">
        <f t="shared" ca="1" si="32"/>
        <v>-6.3122766761182753E-2</v>
      </c>
      <c r="P41">
        <f t="shared" ca="1" si="32"/>
        <v>-1.9859616619159266E-2</v>
      </c>
      <c r="Q41">
        <f t="shared" ca="1" si="32"/>
        <v>-0.33735422600584514</v>
      </c>
      <c r="R41">
        <f t="shared" ca="1" si="32"/>
        <v>-0.61856953918862045</v>
      </c>
      <c r="S41">
        <f t="shared" ca="1" si="32"/>
        <v>-0.63708600454443731</v>
      </c>
      <c r="T41">
        <f t="shared" ca="1" si="32"/>
        <v>-0.56186447961401986</v>
      </c>
      <c r="U41">
        <f t="shared" ca="1" si="32"/>
        <v>-0.46660471206958631</v>
      </c>
      <c r="V41">
        <f t="shared" ca="1" si="32"/>
        <v>-0.37014679483434815</v>
      </c>
      <c r="W41">
        <f t="shared" ca="1" si="32"/>
        <v>-0.2470272574856352</v>
      </c>
      <c r="X41">
        <f t="shared" ca="1" si="32"/>
        <v>8.7956927280537306E-2</v>
      </c>
      <c r="Y41">
        <f t="shared" ca="1" si="32"/>
        <v>1.4356818307075929</v>
      </c>
      <c r="Z41">
        <f t="shared" ca="1" si="32"/>
        <v>5.5560174715264621</v>
      </c>
      <c r="AA41">
        <f t="shared" ca="1" si="32"/>
        <v>12.987965246672317</v>
      </c>
      <c r="AB41">
        <f t="shared" ca="1" si="32"/>
        <v>20.819001238153291</v>
      </c>
      <c r="AC41">
        <f t="shared" ca="1" si="32"/>
        <v>26.681009300502122</v>
      </c>
      <c r="AD41">
        <f t="shared" ca="1" si="32"/>
        <v>30.635866146749084</v>
      </c>
      <c r="AE41">
        <f t="shared" ca="1" si="32"/>
        <v>33.460563536662526</v>
      </c>
      <c r="AF41">
        <f t="shared" ca="1" si="32"/>
        <v>35.705997958488432</v>
      </c>
      <c r="AG41">
        <f t="shared" ca="1" si="32"/>
        <v>37.650385976856946</v>
      </c>
      <c r="AH41">
        <f t="shared" ca="1" si="32"/>
        <v>39.418604604980921</v>
      </c>
      <c r="AI41">
        <f t="shared" ca="1" si="32"/>
        <v>41.048617529832171</v>
      </c>
    </row>
    <row r="42" spans="1:35">
      <c r="A42" s="1" t="s">
        <v>96</v>
      </c>
      <c r="B42" s="1">
        <f ca="1">SUMPRODUCT(lz/SUM(lz),len,ta1_)</f>
        <v>4.3956833172086798</v>
      </c>
      <c r="J42" s="8" t="s">
        <v>68</v>
      </c>
      <c r="K42">
        <f t="shared" ref="K42:AI42" ca="1" si="33">flt1_*qa1_+lz*wa*flt1_*flt3_/za*(sa-oa/za)</f>
        <v>-1.0335750588048062E-11</v>
      </c>
      <c r="L42">
        <f t="shared" ca="1" si="33"/>
        <v>-4.6702501986264028E-10</v>
      </c>
      <c r="M42">
        <f t="shared" ca="1" si="33"/>
        <v>-1.0120266125018463E-8</v>
      </c>
      <c r="N42">
        <f t="shared" ca="1" si="33"/>
        <v>-1.5659964766600848E-7</v>
      </c>
      <c r="O42">
        <f t="shared" ca="1" si="33"/>
        <v>-1.9522945765212028E-6</v>
      </c>
      <c r="P42">
        <f t="shared" ca="1" si="33"/>
        <v>-2.1111927269574571E-6</v>
      </c>
      <c r="Q42">
        <f t="shared" ca="1" si="33"/>
        <v>-1.0077380852509833E-4</v>
      </c>
      <c r="R42">
        <f t="shared" ca="1" si="33"/>
        <v>-5.1393574283516391E-4</v>
      </c>
      <c r="S42">
        <f t="shared" ca="1" si="33"/>
        <v>-1.4637039278727014E-3</v>
      </c>
      <c r="T42">
        <f t="shared" ca="1" si="33"/>
        <v>-3.5049073677134238E-3</v>
      </c>
      <c r="U42">
        <f t="shared" ca="1" si="33"/>
        <v>-7.4124516165414416E-3</v>
      </c>
      <c r="V42">
        <f t="shared" ca="1" si="33"/>
        <v>-1.1443091456051008E-2</v>
      </c>
      <c r="W42">
        <f t="shared" ca="1" si="33"/>
        <v>1.0675128568615876E-2</v>
      </c>
      <c r="X42">
        <f t="shared" ca="1" si="33"/>
        <v>0.23768705605762702</v>
      </c>
      <c r="Y42">
        <f t="shared" ca="1" si="33"/>
        <v>1.4688102143862209</v>
      </c>
      <c r="Z42">
        <f t="shared" ca="1" si="33"/>
        <v>5.4907338101070202</v>
      </c>
      <c r="AA42">
        <f t="shared" ca="1" si="33"/>
        <v>12.858219131850639</v>
      </c>
      <c r="AB42">
        <f t="shared" ca="1" si="33"/>
        <v>20.679177719066448</v>
      </c>
      <c r="AC42">
        <f t="shared" ca="1" si="33"/>
        <v>26.562451298233814</v>
      </c>
      <c r="AD42">
        <f t="shared" ca="1" si="33"/>
        <v>30.545400644611728</v>
      </c>
      <c r="AE42">
        <f t="shared" ca="1" si="33"/>
        <v>33.394671085255439</v>
      </c>
      <c r="AF42">
        <f t="shared" ca="1" si="33"/>
        <v>35.659026710948481</v>
      </c>
      <c r="AG42">
        <f t="shared" ca="1" si="33"/>
        <v>37.617274834180421</v>
      </c>
      <c r="AH42">
        <f t="shared" ca="1" si="33"/>
        <v>39.395421980905191</v>
      </c>
      <c r="AI42">
        <f t="shared" ca="1" si="33"/>
        <v>40.999820304701672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-1.0391317328700796E-7</v>
      </c>
      <c r="L43">
        <f t="shared" ca="1" si="34"/>
        <v>-2.3712815499796218E-5</v>
      </c>
      <c r="M43">
        <f t="shared" ca="1" si="34"/>
        <v>-1.3789851646182211E-3</v>
      </c>
      <c r="N43">
        <f t="shared" ca="1" si="34"/>
        <v>-1.340807784576368E-2</v>
      </c>
      <c r="O43">
        <f t="shared" ca="1" si="34"/>
        <v>-6.3122766761182753E-2</v>
      </c>
      <c r="P43">
        <f t="shared" ca="1" si="34"/>
        <v>-1.9859616619159266E-2</v>
      </c>
      <c r="Q43">
        <f t="shared" ca="1" si="34"/>
        <v>-0.33735422600584514</v>
      </c>
      <c r="R43">
        <f t="shared" ca="1" si="34"/>
        <v>-0.61856953918862045</v>
      </c>
      <c r="S43">
        <f t="shared" ca="1" si="34"/>
        <v>-0.63708600454443731</v>
      </c>
      <c r="T43">
        <f t="shared" ca="1" si="34"/>
        <v>-0.56186447961401986</v>
      </c>
      <c r="U43">
        <f t="shared" ca="1" si="34"/>
        <v>-0.46660471206958631</v>
      </c>
      <c r="V43">
        <f t="shared" ca="1" si="34"/>
        <v>-0.37014679483434815</v>
      </c>
      <c r="W43">
        <f t="shared" ca="1" si="34"/>
        <v>-0.2470272574856352</v>
      </c>
      <c r="X43">
        <f t="shared" ca="1" si="34"/>
        <v>8.7956927280537306E-2</v>
      </c>
      <c r="Y43">
        <f t="shared" ca="1" si="34"/>
        <v>1.4356818307075929</v>
      </c>
      <c r="Z43">
        <f t="shared" ca="1" si="34"/>
        <v>5.5560174715264621</v>
      </c>
      <c r="AA43">
        <f t="shared" ca="1" si="34"/>
        <v>12.987965246672317</v>
      </c>
      <c r="AB43">
        <f t="shared" ca="1" si="34"/>
        <v>20.819001238153291</v>
      </c>
      <c r="AC43">
        <f t="shared" ca="1" si="34"/>
        <v>26.681009300502122</v>
      </c>
      <c r="AD43">
        <f t="shared" ca="1" si="34"/>
        <v>30.635866146749084</v>
      </c>
      <c r="AE43">
        <f t="shared" ca="1" si="34"/>
        <v>33.460563536662526</v>
      </c>
      <c r="AF43">
        <f t="shared" ca="1" si="34"/>
        <v>35.705997958488432</v>
      </c>
      <c r="AG43">
        <f t="shared" ca="1" si="34"/>
        <v>37.650385976856946</v>
      </c>
      <c r="AH43">
        <f t="shared" ca="1" si="34"/>
        <v>39.418604604980921</v>
      </c>
      <c r="AI43">
        <f t="shared" ca="1" si="34"/>
        <v>41.048617529832171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0.40000000000194524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3.3061624279791772E-8</v>
      </c>
      <c r="L46">
        <f t="shared" ca="1" si="35"/>
        <v>4.1671312134531391E-7</v>
      </c>
      <c r="M46">
        <f t="shared" ca="1" si="35"/>
        <v>2.5332356486528082E-6</v>
      </c>
      <c r="N46">
        <f t="shared" ca="1" si="35"/>
        <v>1.1089995037018215E-5</v>
      </c>
      <c r="O46">
        <f t="shared" ca="1" si="35"/>
        <v>4.0431843497343512E-5</v>
      </c>
      <c r="P46">
        <f t="shared" ca="1" si="35"/>
        <v>1.3218527908691243E-4</v>
      </c>
      <c r="Q46">
        <f t="shared" ca="1" si="35"/>
        <v>3.9986105099531507E-4</v>
      </c>
      <c r="R46">
        <f t="shared" ca="1" si="35"/>
        <v>1.133673097858509E-3</v>
      </c>
      <c r="S46">
        <f t="shared" ca="1" si="35"/>
        <v>3.0648050723710431E-3</v>
      </c>
      <c r="T46">
        <f t="shared" ca="1" si="35"/>
        <v>8.0042533481926598E-3</v>
      </c>
      <c r="U46">
        <f t="shared" ca="1" si="35"/>
        <v>2.0310209572635581E-2</v>
      </c>
      <c r="V46">
        <f t="shared" ca="1" si="35"/>
        <v>5.0033648292220546E-2</v>
      </c>
      <c r="W46">
        <f t="shared" ca="1" si="35"/>
        <v>0.11839087229653936</v>
      </c>
      <c r="X46">
        <f t="shared" ca="1" si="35"/>
        <v>0.26112952848984644</v>
      </c>
      <c r="Y46">
        <f t="shared" ca="1" si="35"/>
        <v>0.50475041281172384</v>
      </c>
      <c r="Z46">
        <f t="shared" ca="1" si="35"/>
        <v>0.78356566210615253</v>
      </c>
      <c r="AA46">
        <f t="shared" ca="1" si="35"/>
        <v>0.92618538716878751</v>
      </c>
      <c r="AB46">
        <f t="shared" ca="1" si="35"/>
        <v>0.86552022649009841</v>
      </c>
      <c r="AC46">
        <f t="shared" ca="1" si="35"/>
        <v>0.69855444847036341</v>
      </c>
      <c r="AD46">
        <f t="shared" ca="1" si="35"/>
        <v>0.52332503212296155</v>
      </c>
      <c r="AE46">
        <f t="shared" ca="1" si="35"/>
        <v>0.3784984837350468</v>
      </c>
      <c r="AF46">
        <f t="shared" ca="1" si="35"/>
        <v>0.26907541697207976</v>
      </c>
      <c r="AG46">
        <f t="shared" ca="1" si="35"/>
        <v>0.18947612802293337</v>
      </c>
      <c r="AH46">
        <f t="shared" ca="1" si="35"/>
        <v>0.13260615822380528</v>
      </c>
      <c r="AI46">
        <f t="shared" ca="1" si="35"/>
        <v>0.27907906196889237</v>
      </c>
    </row>
    <row r="47" spans="1:35" ht="19" thickTop="1">
      <c r="A47" s="1" t="s">
        <v>41</v>
      </c>
      <c r="B47" s="11">
        <f ca="1">MAX(0,Ro*(reck-1/spr)/(reck-1))</f>
        <v>20157.703453420687</v>
      </c>
      <c r="F47" t="s">
        <v>84</v>
      </c>
      <c r="G47" s="31">
        <f ca="1">G39/G53</f>
        <v>1</v>
      </c>
      <c r="H47" s="31">
        <f ca="1">H53/H39</f>
        <v>0.49623852913568073</v>
      </c>
      <c r="I47" s="31">
        <f ca="1">I53/I39</f>
        <v>0.48225272454044871</v>
      </c>
      <c r="J47" s="8" t="s">
        <v>76</v>
      </c>
      <c r="K47">
        <f t="shared" ref="K47:AI47" ca="1" si="36">lz*qa2_</f>
        <v>3.3165590988652591E-4</v>
      </c>
      <c r="L47">
        <f t="shared" ca="1" si="36"/>
        <v>2.1119298295671343E-2</v>
      </c>
      <c r="M47">
        <f t="shared" ca="1" si="36"/>
        <v>0.34464666629455681</v>
      </c>
      <c r="N47">
        <f t="shared" ca="1" si="36"/>
        <v>0.94827406816193416</v>
      </c>
      <c r="O47">
        <f t="shared" ca="1" si="36"/>
        <v>1.3057217521780649</v>
      </c>
      <c r="P47">
        <f t="shared" ca="1" si="36"/>
        <v>1.2299608988645161</v>
      </c>
      <c r="Q47">
        <f t="shared" ca="1" si="36"/>
        <v>1.3357725508197293</v>
      </c>
      <c r="R47">
        <f t="shared" ca="1" si="36"/>
        <v>1.3596059933233073</v>
      </c>
      <c r="S47">
        <f t="shared" ca="1" si="36"/>
        <v>1.320164359514141</v>
      </c>
      <c r="T47">
        <f t="shared" ca="1" si="36"/>
        <v>1.239843170439723</v>
      </c>
      <c r="U47">
        <f t="shared" ca="1" si="36"/>
        <v>1.1347686414727121</v>
      </c>
      <c r="V47">
        <f t="shared" ca="1" si="36"/>
        <v>1.0161342396670776</v>
      </c>
      <c r="W47">
        <f t="shared" ca="1" si="36"/>
        <v>0.89084561744294455</v>
      </c>
      <c r="X47">
        <f t="shared" ca="1" si="36"/>
        <v>0.76170146654064486</v>
      </c>
      <c r="Y47">
        <f t="shared" ca="1" si="36"/>
        <v>0.62864291148551321</v>
      </c>
      <c r="Z47">
        <f t="shared" ca="1" si="36"/>
        <v>0.5373154393625803</v>
      </c>
      <c r="AA47">
        <f t="shared" ca="1" si="36"/>
        <v>0.43234673532952156</v>
      </c>
      <c r="AB47">
        <f t="shared" ca="1" si="36"/>
        <v>0.32991403852794676</v>
      </c>
      <c r="AC47">
        <f t="shared" ca="1" si="36"/>
        <v>0.24287555681243478</v>
      </c>
      <c r="AD47">
        <f t="shared" ca="1" si="36"/>
        <v>0.17509681044489286</v>
      </c>
      <c r="AE47">
        <f t="shared" ca="1" si="36"/>
        <v>0.12470161162353972</v>
      </c>
      <c r="AF47">
        <f t="shared" ca="1" si="36"/>
        <v>8.8112165977758186E-2</v>
      </c>
      <c r="AG47">
        <f t="shared" ca="1" si="36"/>
        <v>6.1898404010762832E-2</v>
      </c>
      <c r="AH47">
        <f t="shared" ca="1" si="36"/>
        <v>4.3279763111135502E-2</v>
      </c>
      <c r="AI47">
        <f t="shared" ca="1" si="36"/>
        <v>9.1052712165602123E-2</v>
      </c>
    </row>
    <row r="48" spans="1:35">
      <c r="A48" s="1" t="s">
        <v>43</v>
      </c>
      <c r="B48" s="1">
        <f ca="1">f1_*re*phi_q1</f>
        <v>28045.149168884247</v>
      </c>
      <c r="C48" s="20">
        <f ca="1">ye_1/SUM(ye_1,ye_2,ye_3)</f>
        <v>0.61858540861471256</v>
      </c>
      <c r="F48" t="s">
        <v>85</v>
      </c>
      <c r="G48" s="31">
        <f ca="1">G40/G54</f>
        <v>2.0151599307327901</v>
      </c>
      <c r="H48" s="31">
        <f t="shared" ref="H48:I49" ca="1" si="37">H40/H54</f>
        <v>1.0000000000000002</v>
      </c>
      <c r="I48" s="31">
        <f ca="1">I54/I40</f>
        <v>0.66283144919613179</v>
      </c>
      <c r="J48" s="8" t="s">
        <v>77</v>
      </c>
      <c r="K48">
        <f t="shared" ref="K48:AI48" ca="1" si="38">lz*qa3_</f>
        <v>3.055229397929415E-5</v>
      </c>
      <c r="L48">
        <f t="shared" ca="1" si="38"/>
        <v>5.3955111572536623E-4</v>
      </c>
      <c r="M48">
        <f t="shared" ca="1" si="38"/>
        <v>4.5844953726402087E-3</v>
      </c>
      <c r="N48">
        <f t="shared" ca="1" si="38"/>
        <v>2.7797953016753599E-2</v>
      </c>
      <c r="O48">
        <f t="shared" ca="1" si="38"/>
        <v>0.13554120296540612</v>
      </c>
      <c r="P48">
        <f t="shared" ca="1" si="38"/>
        <v>5.7804040760651113E-2</v>
      </c>
      <c r="Q48">
        <f t="shared" ca="1" si="38"/>
        <v>1.0712996954784901</v>
      </c>
      <c r="R48">
        <f t="shared" ca="1" si="38"/>
        <v>2.1431893246354092</v>
      </c>
      <c r="S48">
        <f t="shared" ca="1" si="38"/>
        <v>2.405638569439783</v>
      </c>
      <c r="T48">
        <f t="shared" ca="1" si="38"/>
        <v>2.3118553888763307</v>
      </c>
      <c r="U48">
        <f t="shared" ca="1" si="38"/>
        <v>2.0956051751234344</v>
      </c>
      <c r="V48">
        <f t="shared" ca="1" si="38"/>
        <v>1.8429502423864468</v>
      </c>
      <c r="W48">
        <f t="shared" ca="1" si="38"/>
        <v>1.5834499571844853</v>
      </c>
      <c r="X48">
        <f t="shared" ca="1" si="38"/>
        <v>1.3261564020791357</v>
      </c>
      <c r="Y48">
        <f t="shared" ca="1" si="38"/>
        <v>1.0719240716610581</v>
      </c>
      <c r="Z48">
        <f t="shared" ca="1" si="38"/>
        <v>0.91619796072600768</v>
      </c>
      <c r="AA48">
        <f t="shared" ca="1" si="38"/>
        <v>0.73721164183439036</v>
      </c>
      <c r="AB48">
        <f t="shared" ca="1" si="38"/>
        <v>0.56254956990025562</v>
      </c>
      <c r="AC48">
        <f t="shared" ca="1" si="38"/>
        <v>0.41413678736967868</v>
      </c>
      <c r="AD48">
        <f t="shared" ca="1" si="38"/>
        <v>0.29856454683221106</v>
      </c>
      <c r="AE48">
        <f t="shared" ca="1" si="38"/>
        <v>0.21263368572522429</v>
      </c>
      <c r="AF48">
        <f t="shared" ca="1" si="38"/>
        <v>0.15024356433856018</v>
      </c>
      <c r="AG48">
        <f t="shared" ca="1" si="38"/>
        <v>0.10554543452935614</v>
      </c>
      <c r="AH48">
        <f t="shared" ca="1" si="38"/>
        <v>7.3798048219435808E-2</v>
      </c>
      <c r="AI48">
        <f t="shared" ca="1" si="38"/>
        <v>0.15525760678617589</v>
      </c>
    </row>
    <row r="49" spans="1:47">
      <c r="A49" s="1" t="s">
        <v>44</v>
      </c>
      <c r="B49" s="1">
        <f ca="1">f2_*re*phi_q2</f>
        <v>9634.5505595352479</v>
      </c>
      <c r="C49" s="20">
        <f ca="1">ye_2/SUM(ye_1,ye_2,ye_3)</f>
        <v>0.21250706704393416</v>
      </c>
      <c r="F49" t="s">
        <v>86</v>
      </c>
      <c r="G49" s="31">
        <f ca="1">G41/G55</f>
        <v>2.0736015560159382</v>
      </c>
      <c r="H49" s="31">
        <f t="shared" ca="1" si="37"/>
        <v>1.5086791690599159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7657.8539518229663</v>
      </c>
      <c r="C50" s="20">
        <f ca="1">ye_3/SUM(ye_1,ye_2,ye_3)</f>
        <v>0.16890752434135331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45337.553680242461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1199.9297152749957</v>
      </c>
      <c r="H52" s="59">
        <f ca="1">H40^0.5</f>
        <v>580.43873574901556</v>
      </c>
      <c r="I52" s="11">
        <f ca="1">I41^0.5</f>
        <v>565.2043901814194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1.3912869208384495</v>
      </c>
      <c r="C53">
        <f ca="1">AVERAGE(B53:B55)/B53</f>
        <v>0.53886387989625351</v>
      </c>
      <c r="G53">
        <f ca="1">G$52*$J53</f>
        <v>1439831.3215999324</v>
      </c>
      <c r="H53">
        <f t="shared" ref="H53:I53" ca="1" si="39">H$52*$J53</f>
        <v>696485.68692189467</v>
      </c>
      <c r="I53">
        <f t="shared" ca="1" si="39"/>
        <v>678205.54298256815</v>
      </c>
      <c r="J53">
        <f t="array" aca="1" ref="J53:J55" ca="1">TRANSPOSE(G52:I52)</f>
        <v>1199.9297152749957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0.47795874077611261</v>
      </c>
      <c r="C54">
        <f ca="1">AVERAGE(B53:B55)/B54</f>
        <v>1.5685752853782473</v>
      </c>
      <c r="G54">
        <f t="shared" ref="G54:I55" ca="1" si="40">G$52*$J54</f>
        <v>696485.68692189467</v>
      </c>
      <c r="H54">
        <f t="shared" ca="1" si="40"/>
        <v>336909.1259579155</v>
      </c>
      <c r="I54">
        <f ca="1">I$52*$J54</f>
        <v>328066.52167669637</v>
      </c>
      <c r="J54">
        <f ca="1"/>
        <v>580.43873574901556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0.37989714302119354</v>
      </c>
      <c r="C55">
        <f ca="1">AVERAGE(B53:B55)/B55</f>
        <v>1.9734664552875929</v>
      </c>
      <c r="G55">
        <f t="shared" ca="1" si="40"/>
        <v>678205.54298256815</v>
      </c>
      <c r="H55">
        <f t="shared" ca="1" si="40"/>
        <v>328066.52167669637</v>
      </c>
      <c r="I55">
        <f t="shared" ca="1" si="40"/>
        <v>319456.00268035015</v>
      </c>
      <c r="J55">
        <f ca="1"/>
        <v>565.2043901814194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4.244485670355036E-2</v>
      </c>
      <c r="C56">
        <f ca="1">AVERAGE(B56:B58)/B56</f>
        <v>1.2005261151137512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8.2487352372130021E-2</v>
      </c>
      <c r="C57">
        <f ca="1">AVERAGE(B56:B58)/B57</f>
        <v>0.61774511436603841</v>
      </c>
      <c r="G57">
        <f t="array" aca="1" ref="G57:I59" ca="1">MMULT($G$52:$I$52,TRANSPOSE($G$52:$I$52))</f>
        <v>2096196.450238198</v>
      </c>
      <c r="H57">
        <f ca="1"/>
        <v>2096196.450238198</v>
      </c>
      <c r="I57">
        <f ca="1"/>
        <v>2096196.450238198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2.7936267698939143E-2</v>
      </c>
      <c r="C58">
        <f ca="1">AVERAGE(B56:B58)/B58</f>
        <v>1.8240145560606935</v>
      </c>
      <c r="G58">
        <f ca="1"/>
        <v>2096196.450238198</v>
      </c>
      <c r="H58">
        <f ca="1"/>
        <v>2096196.450238198</v>
      </c>
      <c r="I58">
        <f ca="1"/>
        <v>2096196.450238198</v>
      </c>
      <c r="AL58" s="31"/>
      <c r="AM58" s="31"/>
      <c r="AN58" s="31"/>
      <c r="AO58" s="31"/>
      <c r="AP58" s="31"/>
    </row>
    <row r="59" spans="1:47">
      <c r="G59">
        <f ca="1"/>
        <v>2096196.450238198</v>
      </c>
      <c r="H59">
        <f ca="1"/>
        <v>2096196.450238198</v>
      </c>
      <c r="I59">
        <f ca="1"/>
        <v>2096196.450238198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32.778692847420388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5.7943275790919966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13.598707855867941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F19" sqref="F1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0.60367371601208453</v>
      </c>
      <c r="E4" s="49">
        <v>24977</v>
      </c>
      <c r="F4" s="49">
        <f ca="1">ye_1</f>
        <v>27568.626932921292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0.22513595166163142</v>
      </c>
      <c r="E5" s="49">
        <v>9315</v>
      </c>
      <c r="F5" s="49">
        <f ca="1">ye_2</f>
        <v>10281.529402256549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0.171190332326284</v>
      </c>
      <c r="E6" s="49">
        <v>7083</v>
      </c>
      <c r="F6" s="49">
        <f ca="1">ye_3</f>
        <v>7817.9358836482188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0.39999999999844532</v>
      </c>
      <c r="J7" t="s">
        <v>7</v>
      </c>
      <c r="K7" s="1">
        <f>1</f>
        <v>1</v>
      </c>
      <c r="L7" s="1">
        <f ca="1">K7*EXP(-K8)</f>
        <v>0.86054631278208482</v>
      </c>
      <c r="M7" s="1">
        <f t="shared" ref="M7:AH7" ca="1" si="4">L7*EXP(-L8)</f>
        <v>0.73888626299097981</v>
      </c>
      <c r="N7" s="1">
        <f t="shared" ca="1" si="4"/>
        <v>0.62547860314127113</v>
      </c>
      <c r="O7" s="1">
        <f t="shared" ca="1" si="4"/>
        <v>0.5241555848217001</v>
      </c>
      <c r="P7" s="1">
        <f t="shared" ca="1" si="4"/>
        <v>0.43960088151902005</v>
      </c>
      <c r="Q7" s="1">
        <f t="shared" ca="1" si="4"/>
        <v>0.36924517505118765</v>
      </c>
      <c r="R7" s="1">
        <f t="shared" ca="1" si="4"/>
        <v>0.30775919303188504</v>
      </c>
      <c r="S7" s="1">
        <f t="shared" ca="1" si="4"/>
        <v>0.25483230930610234</v>
      </c>
      <c r="T7" s="1">
        <f t="shared" ca="1" si="4"/>
        <v>0.21107997926352448</v>
      </c>
      <c r="U7" s="1">
        <f t="shared" ca="1" si="4"/>
        <v>0.17523707037777883</v>
      </c>
      <c r="V7" s="1">
        <f t="shared" ca="1" si="4"/>
        <v>0.14576368609580562</v>
      </c>
      <c r="W7" s="1">
        <f t="shared" ca="1" si="4"/>
        <v>0.12125823949395363</v>
      </c>
      <c r="X7" s="1">
        <f t="shared" ca="1" si="4"/>
        <v>0.10044284628435733</v>
      </c>
      <c r="Y7" s="1">
        <f t="shared" ca="1" si="4"/>
        <v>8.208339165135542E-2</v>
      </c>
      <c r="Z7" s="1">
        <f t="shared" ca="1" si="4"/>
        <v>6.5126411437811227E-2</v>
      </c>
      <c r="AA7" s="1">
        <f t="shared" ca="1" si="4"/>
        <v>4.9225375832361938E-2</v>
      </c>
      <c r="AB7" s="1">
        <f t="shared" ca="1" si="4"/>
        <v>3.5369829382675293E-2</v>
      </c>
      <c r="AC7" s="1">
        <f t="shared" ca="1" si="4"/>
        <v>2.4524784134385951E-2</v>
      </c>
      <c r="AD7" s="1">
        <f t="shared" ca="1" si="4"/>
        <v>1.6689868965237161E-2</v>
      </c>
      <c r="AE7" s="1">
        <f t="shared" ca="1" si="4"/>
        <v>1.1263694709643578E-2</v>
      </c>
      <c r="AF7" s="1">
        <f t="shared" ca="1" si="4"/>
        <v>7.5755683328889113E-3</v>
      </c>
      <c r="AG7" s="1">
        <f t="shared" ca="1" si="4"/>
        <v>5.0880715944091933E-3</v>
      </c>
      <c r="AH7" s="1">
        <f t="shared" ca="1" si="4"/>
        <v>3.4155175632950077E-3</v>
      </c>
      <c r="AI7" s="1">
        <f ca="1">AH7*EXP(-AH8)/(1-EXP(-AI8))</f>
        <v>6.9691928106450328E-3</v>
      </c>
    </row>
    <row r="8" spans="1:35">
      <c r="A8" s="5"/>
      <c r="B8" s="26"/>
      <c r="C8" s="26"/>
      <c r="E8" t="s">
        <v>111</v>
      </c>
      <c r="F8">
        <f ca="1">SUMXMY2(E4:E6,F4:F6)</f>
        <v>8190839.9979432123</v>
      </c>
      <c r="J8" t="s">
        <v>11</v>
      </c>
      <c r="K8" s="1">
        <f ca="1">M+f1_*flt1_ +f2_*flt2_ +f3_*flt3_</f>
        <v>0.15018784399778934</v>
      </c>
      <c r="L8" s="1">
        <f t="shared" ref="L8:AI8" ca="1" si="5">M+f1_*flt1_ +f2_*flt2_ +f3_*flt3_</f>
        <v>0.15242343252377655</v>
      </c>
      <c r="M8" s="1">
        <f t="shared" ca="1" si="5"/>
        <v>0.16662688074657897</v>
      </c>
      <c r="N8" s="1">
        <f t="shared" ca="1" si="5"/>
        <v>0.17672856386559266</v>
      </c>
      <c r="O8" s="1">
        <f t="shared" ca="1" si="5"/>
        <v>0.17592133004564822</v>
      </c>
      <c r="P8" s="1">
        <f t="shared" ca="1" si="5"/>
        <v>0.17440637336576781</v>
      </c>
      <c r="Q8" s="1">
        <f t="shared" ca="1" si="5"/>
        <v>0.18214321806589984</v>
      </c>
      <c r="R8" s="1">
        <f t="shared" ca="1" si="5"/>
        <v>0.18871191809763105</v>
      </c>
      <c r="S8" s="1">
        <f t="shared" ca="1" si="5"/>
        <v>0.18836860797587823</v>
      </c>
      <c r="T8" s="1">
        <f t="shared" ca="1" si="5"/>
        <v>0.18609736526279794</v>
      </c>
      <c r="U8" s="1">
        <f t="shared" ca="1" si="5"/>
        <v>0.18415302304070572</v>
      </c>
      <c r="V8" s="1">
        <f t="shared" ca="1" si="5"/>
        <v>0.18406423989597848</v>
      </c>
      <c r="W8" s="1">
        <f t="shared" ca="1" si="5"/>
        <v>0.1883336100545378</v>
      </c>
      <c r="X8" s="1">
        <f t="shared" ca="1" si="5"/>
        <v>0.2018531701863529</v>
      </c>
      <c r="Y8" s="1">
        <f t="shared" ca="1" si="5"/>
        <v>0.23140552926902075</v>
      </c>
      <c r="Z8" s="1">
        <f t="shared" ca="1" si="5"/>
        <v>0.27992091310256095</v>
      </c>
      <c r="AA8" s="1">
        <f t="shared" ca="1" si="5"/>
        <v>0.33055008006625786</v>
      </c>
      <c r="AB8" s="1">
        <f t="shared" ca="1" si="5"/>
        <v>0.36617497586657199</v>
      </c>
      <c r="AC8" s="1">
        <f t="shared" ca="1" si="5"/>
        <v>0.3848823170041048</v>
      </c>
      <c r="AD8" s="1">
        <f t="shared" ca="1" si="5"/>
        <v>0.39321719069245076</v>
      </c>
      <c r="AE8" s="1">
        <f t="shared" ca="1" si="5"/>
        <v>0.3966563198311388</v>
      </c>
      <c r="AF8" s="1">
        <f t="shared" ca="1" si="5"/>
        <v>0.39802947885805151</v>
      </c>
      <c r="AG8" s="1">
        <f t="shared" ca="1" si="5"/>
        <v>0.39856985975802661</v>
      </c>
      <c r="AH8" s="1">
        <f t="shared" ca="1" si="5"/>
        <v>0.39878063192499669</v>
      </c>
      <c r="AI8" s="1">
        <f t="shared" ca="1" si="5"/>
        <v>0.39886188326668381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0.86054631278208482</v>
      </c>
      <c r="L10" s="1">
        <f t="shared" ca="1" si="6"/>
        <v>0.85862463416084278</v>
      </c>
      <c r="M10" s="1">
        <f t="shared" ca="1" si="6"/>
        <v>0.84651540361484134</v>
      </c>
      <c r="N10" s="1">
        <f t="shared" ca="1" si="6"/>
        <v>0.83800721909477349</v>
      </c>
      <c r="O10" s="1">
        <f t="shared" ca="1" si="6"/>
        <v>0.83868395997069711</v>
      </c>
      <c r="P10" s="1">
        <f t="shared" ca="1" si="6"/>
        <v>0.83995549275351411</v>
      </c>
      <c r="Q10" s="1">
        <f t="shared" ca="1" si="6"/>
        <v>0.83348196219279258</v>
      </c>
      <c r="R10" s="1">
        <f t="shared" ca="1" si="6"/>
        <v>0.82802501135912687</v>
      </c>
      <c r="S10" s="1">
        <f t="shared" ca="1" si="6"/>
        <v>0.82830932952845104</v>
      </c>
      <c r="T10" s="1">
        <f t="shared" ca="1" si="6"/>
        <v>0.83019275911052992</v>
      </c>
      <c r="U10" s="1">
        <f t="shared" ca="1" si="6"/>
        <v>0.83180850822012697</v>
      </c>
      <c r="V10" s="1">
        <f t="shared" ca="1" si="6"/>
        <v>0.83188236207373778</v>
      </c>
      <c r="W10" s="1">
        <f t="shared" ca="1" si="6"/>
        <v>0.8283383191404966</v>
      </c>
      <c r="X10" s="1">
        <f t="shared" ca="1" si="6"/>
        <v>0.81721491064654195</v>
      </c>
      <c r="Y10" s="1">
        <f t="shared" ca="1" si="6"/>
        <v>0.79341764670777726</v>
      </c>
      <c r="Z10" s="1">
        <f t="shared" ca="1" si="6"/>
        <v>0.75584351641064884</v>
      </c>
      <c r="AA10" s="1">
        <f t="shared" ca="1" si="6"/>
        <v>0.71852837656594026</v>
      </c>
      <c r="AB10" s="1">
        <f t="shared" ca="1" si="6"/>
        <v>0.69338146557185776</v>
      </c>
      <c r="AC10" s="1">
        <f t="shared" ca="1" si="6"/>
        <v>0.68053071838607804</v>
      </c>
      <c r="AD10" s="1">
        <f t="shared" ca="1" si="6"/>
        <v>0.67488215354502767</v>
      </c>
      <c r="AE10" s="1">
        <f t="shared" ca="1" si="6"/>
        <v>0.67256513321538958</v>
      </c>
      <c r="AF10" s="1">
        <f t="shared" ca="1" si="6"/>
        <v>0.6716422281242731</v>
      </c>
      <c r="AG10" s="1">
        <f t="shared" ca="1" si="6"/>
        <v>0.67127938353854943</v>
      </c>
      <c r="AH10" s="1">
        <f t="shared" ca="1" si="6"/>
        <v>0.67113791143795298</v>
      </c>
      <c r="AI10" s="1">
        <f t="shared" ca="1" si="6"/>
        <v>0.67108338279748414</v>
      </c>
    </row>
    <row r="11" spans="1:35">
      <c r="A11" s="5">
        <v>1</v>
      </c>
      <c r="B11" s="25">
        <v>0.2776560452429222</v>
      </c>
      <c r="C11" s="18">
        <f ca="1">mpr1_/SUM(mpr1_,mpr2_,mpr3_)</f>
        <v>0.27762975583012267</v>
      </c>
      <c r="J11" t="s">
        <v>56</v>
      </c>
      <c r="K11" s="1">
        <f ca="1">1-sa</f>
        <v>0.13945368721791518</v>
      </c>
      <c r="L11" s="1">
        <f t="shared" ref="L11:AI11" ca="1" si="7">1-sa</f>
        <v>0.14137536583915722</v>
      </c>
      <c r="M11" s="1">
        <f t="shared" ca="1" si="7"/>
        <v>0.15348459638515866</v>
      </c>
      <c r="N11" s="1">
        <f t="shared" ca="1" si="7"/>
        <v>0.16199278090522651</v>
      </c>
      <c r="O11" s="1">
        <f t="shared" ca="1" si="7"/>
        <v>0.16131604002930289</v>
      </c>
      <c r="P11" s="1">
        <f t="shared" ca="1" si="7"/>
        <v>0.16004450724648589</v>
      </c>
      <c r="Q11" s="1">
        <f t="shared" ca="1" si="7"/>
        <v>0.16651803780720742</v>
      </c>
      <c r="R11" s="1">
        <f t="shared" ca="1" si="7"/>
        <v>0.17197498864087313</v>
      </c>
      <c r="S11" s="1">
        <f t="shared" ca="1" si="7"/>
        <v>0.17169067047154896</v>
      </c>
      <c r="T11" s="1">
        <f t="shared" ca="1" si="7"/>
        <v>0.16980724088947008</v>
      </c>
      <c r="U11" s="1">
        <f t="shared" ca="1" si="7"/>
        <v>0.16819149177987303</v>
      </c>
      <c r="V11" s="1">
        <f t="shared" ca="1" si="7"/>
        <v>0.16811763792626222</v>
      </c>
      <c r="W11" s="1">
        <f t="shared" ca="1" si="7"/>
        <v>0.1716616808595034</v>
      </c>
      <c r="X11" s="1">
        <f t="shared" ca="1" si="7"/>
        <v>0.18278508935345805</v>
      </c>
      <c r="Y11" s="1">
        <f t="shared" ca="1" si="7"/>
        <v>0.20658235329222274</v>
      </c>
      <c r="Z11" s="1">
        <f t="shared" ca="1" si="7"/>
        <v>0.24415648358935116</v>
      </c>
      <c r="AA11" s="1">
        <f t="shared" ca="1" si="7"/>
        <v>0.28147162343405974</v>
      </c>
      <c r="AB11" s="1">
        <f t="shared" ca="1" si="7"/>
        <v>0.30661853442814224</v>
      </c>
      <c r="AC11" s="1">
        <f t="shared" ca="1" si="7"/>
        <v>0.31946928161392196</v>
      </c>
      <c r="AD11" s="1">
        <f t="shared" ca="1" si="7"/>
        <v>0.32511784645497233</v>
      </c>
      <c r="AE11" s="1">
        <f t="shared" ca="1" si="7"/>
        <v>0.32743486678461042</v>
      </c>
      <c r="AF11" s="1">
        <f t="shared" ca="1" si="7"/>
        <v>0.3283577718757269</v>
      </c>
      <c r="AG11" s="1">
        <f t="shared" ca="1" si="7"/>
        <v>0.32872061646145057</v>
      </c>
      <c r="AH11" s="1">
        <f t="shared" ca="1" si="7"/>
        <v>0.32886208856204702</v>
      </c>
      <c r="AI11" s="1">
        <f t="shared" ca="1" si="7"/>
        <v>0.32891661720251586</v>
      </c>
    </row>
    <row r="12" spans="1:35">
      <c r="A12" s="5">
        <v>2</v>
      </c>
      <c r="B12" s="25">
        <v>0.53959687512124965</v>
      </c>
      <c r="C12" s="18">
        <f ca="1">mpr2_/SUM(mpr1_,mpr2_,mpr3_)</f>
        <v>0.539640642492481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0.18272960167739627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0.39999999999844532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2.417094616493376E-24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O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2.7913402329611753E-3</v>
      </c>
      <c r="L19" s="4">
        <f t="shared" si="12"/>
        <v>3.6077760555441117E-2</v>
      </c>
      <c r="M19" s="4">
        <f t="shared" si="12"/>
        <v>0.24760759580191832</v>
      </c>
      <c r="N19" s="4">
        <f t="shared" si="12"/>
        <v>0.39787494152939112</v>
      </c>
      <c r="O19" s="4">
        <f t="shared" si="12"/>
        <v>0.38506651442741963</v>
      </c>
      <c r="P19" s="4">
        <f t="shared" ref="P19:Y19" si="14">((EXP(g*(ah-age)/gh)/(1+EXP((ah-age)/gh))) *(1/(1-g))*((1-g)/g)^g) *(sr_2+(1-sr_2)*dmr)</f>
        <v>0.35371766938136068</v>
      </c>
      <c r="Q19" s="4">
        <f t="shared" si="14"/>
        <v>0.32462999187708075</v>
      </c>
      <c r="R19" s="4">
        <f t="shared" si="14"/>
        <v>0.29787028803561516</v>
      </c>
      <c r="S19" s="4">
        <f t="shared" si="14"/>
        <v>0.27331253470735434</v>
      </c>
      <c r="T19" s="4">
        <f t="shared" si="14"/>
        <v>0.25077919570694979</v>
      </c>
      <c r="U19" s="4">
        <f t="shared" si="14"/>
        <v>0.23010361066963747</v>
      </c>
      <c r="V19" s="4">
        <f t="shared" si="14"/>
        <v>0.21113263113934488</v>
      </c>
      <c r="W19" s="4">
        <f t="shared" si="14"/>
        <v>0.19372572116503445</v>
      </c>
      <c r="X19" s="4">
        <f t="shared" si="14"/>
        <v>0.1777539304929163</v>
      </c>
      <c r="Y19" s="4">
        <f t="shared" si="14"/>
        <v>0.16309894017265125</v>
      </c>
      <c r="Z19" s="4">
        <f>Y19</f>
        <v>0.16309894017265125</v>
      </c>
      <c r="AA19" s="4">
        <f t="shared" ref="AA19:AI20" si="15">Z19</f>
        <v>0.16309894017265125</v>
      </c>
      <c r="AB19" s="4">
        <f t="shared" si="15"/>
        <v>0.16309894017265125</v>
      </c>
      <c r="AC19" s="4">
        <f t="shared" si="15"/>
        <v>0.16309894017265125</v>
      </c>
      <c r="AD19" s="4">
        <f t="shared" si="15"/>
        <v>0.16309894017265125</v>
      </c>
      <c r="AE19" s="4">
        <f t="shared" si="15"/>
        <v>0.16309894017265125</v>
      </c>
      <c r="AF19" s="4">
        <f t="shared" si="15"/>
        <v>0.16309894017265125</v>
      </c>
      <c r="AG19" s="4">
        <f t="shared" si="15"/>
        <v>0.16309894017265125</v>
      </c>
      <c r="AH19" s="4">
        <f t="shared" si="15"/>
        <v>0.16309894017265125</v>
      </c>
      <c r="AI19" s="4">
        <f t="shared" si="15"/>
        <v>0.16309894017265125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5.2944611689017759E-9</v>
      </c>
      <c r="L22" s="1">
        <f t="shared" ca="1" si="17"/>
        <v>7.7496106280830619E-8</v>
      </c>
      <c r="M22" s="1">
        <f t="shared" ca="1" si="17"/>
        <v>5.4942447399208472E-7</v>
      </c>
      <c r="N22" s="1">
        <f t="shared" ca="1" si="17"/>
        <v>2.8510103660272508E-6</v>
      </c>
      <c r="O22" s="1">
        <f t="shared" ca="1" si="17"/>
        <v>1.2563295774061442E-5</v>
      </c>
      <c r="P22" s="1">
        <f t="shared" ca="1" si="17"/>
        <v>6.8548771927076765E-5</v>
      </c>
      <c r="Q22" s="1">
        <f t="shared" ca="1" si="17"/>
        <v>8.8301237044154253E-4</v>
      </c>
      <c r="R22" s="1">
        <f t="shared" ca="1" si="17"/>
        <v>3.6786344063534822E-3</v>
      </c>
      <c r="S22" s="1">
        <f t="shared" ca="1" si="17"/>
        <v>1.2077322152841503E-2</v>
      </c>
      <c r="T22" s="1">
        <f t="shared" ca="1" si="17"/>
        <v>3.8012379893870366E-2</v>
      </c>
      <c r="U22" s="1">
        <f t="shared" ca="1" si="17"/>
        <v>0.11596143883051696</v>
      </c>
      <c r="V22" s="1">
        <f t="shared" ca="1" si="17"/>
        <v>0.34284177986107367</v>
      </c>
      <c r="W22" s="1">
        <f t="shared" ca="1" si="17"/>
        <v>0.97375869156789219</v>
      </c>
      <c r="X22" s="1">
        <f t="shared" ca="1" si="17"/>
        <v>2.5900152158903742</v>
      </c>
      <c r="Y22" s="1">
        <f t="shared" ca="1" si="17"/>
        <v>6.1229869496990119</v>
      </c>
      <c r="Z22" s="1">
        <f t="shared" ca="1" si="17"/>
        <v>11.983943931520848</v>
      </c>
      <c r="AA22" s="1">
        <f t="shared" ca="1" si="17"/>
        <v>18.764903082324501</v>
      </c>
      <c r="AB22" s="1">
        <f t="shared" ca="1" si="17"/>
        <v>24.45710580401817</v>
      </c>
      <c r="AC22" s="1">
        <f t="shared" ca="1" si="17"/>
        <v>28.543968226016339</v>
      </c>
      <c r="AD22" s="1">
        <f t="shared" ca="1" si="17"/>
        <v>31.514802215890505</v>
      </c>
      <c r="AE22" s="1">
        <f t="shared" ca="1" si="17"/>
        <v>33.877219535407832</v>
      </c>
      <c r="AF22" s="1">
        <f t="shared" ca="1" si="17"/>
        <v>35.919722419523239</v>
      </c>
      <c r="AG22" s="1">
        <f t="shared" ca="1" si="17"/>
        <v>37.777531953315865</v>
      </c>
      <c r="AH22" s="1">
        <f t="shared" ca="1" si="17"/>
        <v>39.509442621808667</v>
      </c>
      <c r="AI22" s="1">
        <f t="shared" ca="1" si="17"/>
        <v>41.140461280016851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1.3269167370270831E-4</v>
      </c>
      <c r="L23" s="1">
        <f t="shared" ca="1" si="18"/>
        <v>9.8188579931351803E-3</v>
      </c>
      <c r="M23" s="1">
        <f t="shared" ca="1" si="18"/>
        <v>0.18687283220934084</v>
      </c>
      <c r="N23" s="1">
        <f t="shared" ca="1" si="18"/>
        <v>0.60940643187334498</v>
      </c>
      <c r="O23" s="1">
        <f t="shared" ca="1" si="18"/>
        <v>1.0084069463541638</v>
      </c>
      <c r="P23" s="1">
        <f t="shared" ca="1" si="18"/>
        <v>1.4148230740789829</v>
      </c>
      <c r="Q23" s="1">
        <f t="shared" ca="1" si="18"/>
        <v>1.8252846266742238</v>
      </c>
      <c r="R23" s="1">
        <f t="shared" ca="1" si="18"/>
        <v>2.2239512498303755</v>
      </c>
      <c r="S23" s="1">
        <f t="shared" ca="1" si="18"/>
        <v>2.6020610604996142</v>
      </c>
      <c r="T23" s="1">
        <f t="shared" ca="1" si="18"/>
        <v>2.9440770737946478</v>
      </c>
      <c r="U23" s="1">
        <f t="shared" ca="1" si="18"/>
        <v>3.2394931802751419</v>
      </c>
      <c r="V23" s="1">
        <f t="shared" ca="1" si="18"/>
        <v>3.48139021830593</v>
      </c>
      <c r="W23" s="1">
        <f t="shared" ca="1" si="18"/>
        <v>3.6635791887223665</v>
      </c>
      <c r="X23" s="1">
        <f t="shared" ca="1" si="18"/>
        <v>3.7774709013443029</v>
      </c>
      <c r="Y23" s="1">
        <f t="shared" ca="1" si="18"/>
        <v>3.8129462067466515</v>
      </c>
      <c r="Z23" s="1">
        <f t="shared" ca="1" si="18"/>
        <v>4.1088822612867126</v>
      </c>
      <c r="AA23" s="1">
        <f t="shared" ca="1" si="18"/>
        <v>4.3797627877822585</v>
      </c>
      <c r="AB23" s="1">
        <f t="shared" ca="1" si="18"/>
        <v>4.6612096977781015</v>
      </c>
      <c r="AC23" s="1">
        <f t="shared" ca="1" si="18"/>
        <v>4.9621272843155042</v>
      </c>
      <c r="AD23" s="1">
        <f t="shared" ca="1" si="18"/>
        <v>5.2721931984876358</v>
      </c>
      <c r="AE23" s="1">
        <f t="shared" ca="1" si="18"/>
        <v>5.5806615548175103</v>
      </c>
      <c r="AF23" s="1">
        <f t="shared" ca="1" si="18"/>
        <v>5.8811848725952416</v>
      </c>
      <c r="AG23" s="1">
        <f t="shared" ca="1" si="18"/>
        <v>6.1706162138252703</v>
      </c>
      <c r="AH23" s="1">
        <f t="shared" ca="1" si="18"/>
        <v>6.4475109612664605</v>
      </c>
      <c r="AI23" s="1">
        <f t="shared" ca="1" si="18"/>
        <v>6.7112712665298577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1.0703960554176535E-6</v>
      </c>
      <c r="L24" s="1">
        <f t="shared" ca="1" si="19"/>
        <v>2.1949448564738721E-5</v>
      </c>
      <c r="M24" s="1">
        <f t="shared" ca="1" si="19"/>
        <v>2.1750735508965839E-4</v>
      </c>
      <c r="N24" s="1">
        <f t="shared" ca="1" si="19"/>
        <v>1.5639843297145159E-3</v>
      </c>
      <c r="O24" s="1">
        <f t="shared" ca="1" si="19"/>
        <v>9.5321140135201585E-3</v>
      </c>
      <c r="P24" s="1">
        <f t="shared" ca="1" si="19"/>
        <v>0.13298388707912875</v>
      </c>
      <c r="Q24" s="1">
        <f t="shared" ca="1" si="19"/>
        <v>2.9277841703180227</v>
      </c>
      <c r="R24" s="1">
        <f t="shared" ca="1" si="19"/>
        <v>7.0113674116654545</v>
      </c>
      <c r="S24" s="1">
        <f t="shared" ca="1" si="19"/>
        <v>9.483089589661363</v>
      </c>
      <c r="T24" s="1">
        <f t="shared" ca="1" si="19"/>
        <v>10.979260297744746</v>
      </c>
      <c r="U24" s="1">
        <f t="shared" ca="1" si="19"/>
        <v>11.964903549945149</v>
      </c>
      <c r="V24" s="1">
        <f t="shared" ca="1" si="19"/>
        <v>12.62830971776059</v>
      </c>
      <c r="W24" s="1">
        <f t="shared" ca="1" si="19"/>
        <v>13.023792666059935</v>
      </c>
      <c r="X24" s="1">
        <f t="shared" ca="1" si="19"/>
        <v>13.153492383894006</v>
      </c>
      <c r="Y24" s="1">
        <f t="shared" ca="1" si="19"/>
        <v>13.003212947143767</v>
      </c>
      <c r="Z24" s="1">
        <f t="shared" ca="1" si="19"/>
        <v>14.012437658762591</v>
      </c>
      <c r="AA24" s="1">
        <f t="shared" ca="1" si="19"/>
        <v>14.936216012368416</v>
      </c>
      <c r="AB24" s="1">
        <f t="shared" ca="1" si="19"/>
        <v>15.896028688853605</v>
      </c>
      <c r="AC24" s="1">
        <f t="shared" ca="1" si="19"/>
        <v>16.922241817788631</v>
      </c>
      <c r="AD24" s="1">
        <f t="shared" ca="1" si="19"/>
        <v>17.979653302507987</v>
      </c>
      <c r="AE24" s="1">
        <f t="shared" ca="1" si="19"/>
        <v>19.03161666818977</v>
      </c>
      <c r="AF24" s="1">
        <f t="shared" ca="1" si="19"/>
        <v>20.056485230387569</v>
      </c>
      <c r="AG24" s="1">
        <f t="shared" ca="1" si="19"/>
        <v>21.043527050419609</v>
      </c>
      <c r="AH24" s="1">
        <f t="shared" ca="1" si="19"/>
        <v>21.987815579471665</v>
      </c>
      <c r="AI24" s="1">
        <f t="shared" ca="1" si="19"/>
        <v>22.887311987334698</v>
      </c>
      <c r="AM24" s="44"/>
    </row>
    <row r="25" spans="1:39">
      <c r="A25" s="40"/>
      <c r="B25" s="40" t="s">
        <v>97</v>
      </c>
      <c r="C25" s="40">
        <v>2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1.0341560796922938E-7</v>
      </c>
      <c r="L26">
        <f t="shared" ref="L26:AI26" ca="1" si="20">qa1_/wa</f>
        <v>2.6410734499783022E-7</v>
      </c>
      <c r="M26">
        <f t="shared" ca="1" si="20"/>
        <v>6.7057217508136879E-7</v>
      </c>
      <c r="N26">
        <f t="shared" ca="1" si="20"/>
        <v>1.7061894932154851E-6</v>
      </c>
      <c r="O26">
        <f t="shared" ca="1" si="20"/>
        <v>4.39908711270641E-6</v>
      </c>
      <c r="P26">
        <f t="shared" ca="1" si="20"/>
        <v>1.5726523264975778E-5</v>
      </c>
      <c r="Q26">
        <f t="shared" ca="1" si="20"/>
        <v>1.4357311135868405E-4</v>
      </c>
      <c r="R26">
        <f t="shared" ca="1" si="20"/>
        <v>4.4900844708955004E-4</v>
      </c>
      <c r="S26">
        <f t="shared" ca="1" si="20"/>
        <v>1.156247709343748E-3</v>
      </c>
      <c r="T26">
        <f t="shared" ca="1" si="20"/>
        <v>2.9544957643526082E-3</v>
      </c>
      <c r="U26">
        <f t="shared" ca="1" si="20"/>
        <v>7.5228972267911559E-3</v>
      </c>
      <c r="V26">
        <f t="shared" ca="1" si="20"/>
        <v>1.8990668552135173E-2</v>
      </c>
      <c r="W26">
        <f t="shared" ca="1" si="20"/>
        <v>4.6933028526341777E-2</v>
      </c>
      <c r="X26">
        <f t="shared" ca="1" si="20"/>
        <v>0.11036353211886621</v>
      </c>
      <c r="Y26">
        <f t="shared" ca="1" si="20"/>
        <v>0.23381549201318441</v>
      </c>
      <c r="Z26">
        <f t="shared" ca="1" si="20"/>
        <v>0.41491594599974646</v>
      </c>
      <c r="AA26">
        <f t="shared" ca="1" si="20"/>
        <v>0.59503734965865818</v>
      </c>
      <c r="AB26">
        <f t="shared" ca="1" si="20"/>
        <v>0.71658432160974739</v>
      </c>
      <c r="AC26">
        <f t="shared" ca="1" si="20"/>
        <v>0.77875121059421359</v>
      </c>
      <c r="AD26">
        <f t="shared" ca="1" si="20"/>
        <v>0.80608849339594624</v>
      </c>
      <c r="AE26">
        <f t="shared" ca="1" si="20"/>
        <v>0.81730425037172416</v>
      </c>
      <c r="AF26">
        <f t="shared" ca="1" si="20"/>
        <v>0.82177200344463108</v>
      </c>
      <c r="AG26">
        <f t="shared" ca="1" si="20"/>
        <v>0.82352857581462435</v>
      </c>
      <c r="AH26">
        <f t="shared" ca="1" si="20"/>
        <v>0.82421346674720131</v>
      </c>
      <c r="AI26">
        <f t="shared" ca="1" si="20"/>
        <v>0.82447745056876853</v>
      </c>
      <c r="AM26" s="44"/>
    </row>
    <row r="27" spans="1:39">
      <c r="A27" t="s">
        <v>14</v>
      </c>
      <c r="B27" s="28">
        <f ca="1">fbar*C27</f>
        <v>0.22693809410333574</v>
      </c>
      <c r="C27" s="36">
        <f ca="1">CHOOSE(C$25,E36,E39,1)</f>
        <v>2.1690514989954237</v>
      </c>
      <c r="E27" s="42">
        <f ca="1">f1_/(F4/(365*re*phib))</f>
        <v>2064.2654350579483</v>
      </c>
      <c r="J27" s="8" t="s">
        <v>31</v>
      </c>
      <c r="K27">
        <f t="shared" ref="K27:AI27" ca="1" si="21">qa2_/wa</f>
        <v>2.5918388426421505E-3</v>
      </c>
      <c r="L27">
        <f t="shared" ca="1" si="21"/>
        <v>3.346274593565117E-2</v>
      </c>
      <c r="M27">
        <f t="shared" ca="1" si="21"/>
        <v>0.22807815721736244</v>
      </c>
      <c r="N27">
        <f t="shared" ca="1" si="21"/>
        <v>0.36469977926074687</v>
      </c>
      <c r="O27">
        <f t="shared" ca="1" si="21"/>
        <v>0.35309763312498538</v>
      </c>
      <c r="P27">
        <f t="shared" ca="1" si="21"/>
        <v>0.3245900307885578</v>
      </c>
      <c r="Q27">
        <f t="shared" ca="1" si="21"/>
        <v>0.29678156472003975</v>
      </c>
      <c r="R27">
        <f t="shared" ca="1" si="21"/>
        <v>0.27145206258184695</v>
      </c>
      <c r="S27">
        <f t="shared" ca="1" si="21"/>
        <v>0.24911376070790534</v>
      </c>
      <c r="T27">
        <f t="shared" ca="1" si="21"/>
        <v>0.22882711550129842</v>
      </c>
      <c r="U27">
        <f t="shared" ca="1" si="21"/>
        <v>0.21015929526123905</v>
      </c>
      <c r="V27">
        <f t="shared" ca="1" si="21"/>
        <v>0.19284093019025894</v>
      </c>
      <c r="W27">
        <f t="shared" ca="1" si="21"/>
        <v>0.17657646402720784</v>
      </c>
      <c r="X27">
        <f t="shared" ca="1" si="21"/>
        <v>0.16096238685813191</v>
      </c>
      <c r="Y27">
        <f t="shared" ca="1" si="21"/>
        <v>0.14560310199486842</v>
      </c>
      <c r="Z27">
        <f t="shared" ca="1" si="21"/>
        <v>0.14226040944327059</v>
      </c>
      <c r="AA27">
        <f t="shared" ca="1" si="21"/>
        <v>0.13888280850383897</v>
      </c>
      <c r="AB27">
        <f t="shared" ca="1" si="21"/>
        <v>0.13657175202694374</v>
      </c>
      <c r="AC27">
        <f t="shared" ca="1" si="21"/>
        <v>0.135379306730772</v>
      </c>
      <c r="AD27">
        <f t="shared" ca="1" si="21"/>
        <v>0.13485263982137183</v>
      </c>
      <c r="AE27">
        <f t="shared" ca="1" si="21"/>
        <v>0.13463614993170417</v>
      </c>
      <c r="AF27">
        <f t="shared" ca="1" si="21"/>
        <v>0.13454984476032589</v>
      </c>
      <c r="AG27">
        <f t="shared" ca="1" si="21"/>
        <v>0.13451590190565949</v>
      </c>
      <c r="AH27">
        <f t="shared" ca="1" si="21"/>
        <v>0.13450266591062174</v>
      </c>
      <c r="AI27">
        <f t="shared" ca="1" si="21"/>
        <v>0.13449756399770005</v>
      </c>
    </row>
    <row r="28" spans="1:39">
      <c r="A28" t="s">
        <v>15</v>
      </c>
      <c r="B28" s="28">
        <f ca="1">fbar*C28</f>
        <v>6.7126396884979067E-2</v>
      </c>
      <c r="C28" s="36">
        <f ca="1">CHOOSE(C$25,E37,E40,1)</f>
        <v>0.64158735606207518</v>
      </c>
      <c r="E28" s="42">
        <f ca="1">f2_/(F5/(365*re*phib))</f>
        <v>1637.2269633606884</v>
      </c>
      <c r="J28" s="8" t="s">
        <v>32</v>
      </c>
      <c r="K28">
        <f t="shared" ref="K28:AI28" ca="1" si="22">qa3_/wa</f>
        <v>2.0907823347364931E-5</v>
      </c>
      <c r="L28">
        <f t="shared" ca="1" si="22"/>
        <v>7.480389483817877E-5</v>
      </c>
      <c r="M28">
        <f t="shared" ca="1" si="22"/>
        <v>2.6546757034483524E-4</v>
      </c>
      <c r="N28">
        <f t="shared" ca="1" si="22"/>
        <v>9.3596770559306488E-4</v>
      </c>
      <c r="O28">
        <f t="shared" ca="1" si="22"/>
        <v>3.3377069733803457E-3</v>
      </c>
      <c r="P28">
        <f t="shared" ca="1" si="22"/>
        <v>3.0509287551375334E-2</v>
      </c>
      <c r="Q28">
        <f t="shared" ca="1" si="22"/>
        <v>0.47604212216083569</v>
      </c>
      <c r="R28">
        <f t="shared" ca="1" si="22"/>
        <v>0.85579670218081316</v>
      </c>
      <c r="S28">
        <f t="shared" ca="1" si="22"/>
        <v>0.90788342620866003</v>
      </c>
      <c r="T28">
        <f t="shared" ca="1" si="22"/>
        <v>0.85335825160061562</v>
      </c>
      <c r="U28">
        <f t="shared" ca="1" si="22"/>
        <v>0.7762126845136933</v>
      </c>
      <c r="V28">
        <f t="shared" ca="1" si="22"/>
        <v>0.69950647298844071</v>
      </c>
      <c r="W28">
        <f t="shared" ca="1" si="22"/>
        <v>0.62771817906257388</v>
      </c>
      <c r="X28">
        <f t="shared" ca="1" si="22"/>
        <v>0.56048546366786745</v>
      </c>
      <c r="Y28">
        <f t="shared" ca="1" si="22"/>
        <v>0.49654729921285962</v>
      </c>
      <c r="Z28">
        <f t="shared" ca="1" si="22"/>
        <v>0.48514778274752129</v>
      </c>
      <c r="AA28">
        <f t="shared" ca="1" si="22"/>
        <v>0.47362921891669918</v>
      </c>
      <c r="AB28">
        <f t="shared" ca="1" si="22"/>
        <v>0.46574786998794387</v>
      </c>
      <c r="AC28">
        <f t="shared" ca="1" si="22"/>
        <v>0.46168129803198366</v>
      </c>
      <c r="AD28">
        <f t="shared" ca="1" si="22"/>
        <v>0.45988521657585735</v>
      </c>
      <c r="AE28">
        <f t="shared" ca="1" si="22"/>
        <v>0.45914692550548469</v>
      </c>
      <c r="AF28">
        <f t="shared" ca="1" si="22"/>
        <v>0.45885260073376727</v>
      </c>
      <c r="AG28">
        <f t="shared" ca="1" si="22"/>
        <v>0.45873684610641891</v>
      </c>
      <c r="AH28">
        <f t="shared" ca="1" si="22"/>
        <v>0.4586917076615758</v>
      </c>
      <c r="AI28">
        <f t="shared" ca="1" si="22"/>
        <v>0.45867430871164011</v>
      </c>
    </row>
    <row r="29" spans="1:39">
      <c r="A29" t="s">
        <v>19</v>
      </c>
      <c r="B29" s="28">
        <f ca="1">fbar*C29</f>
        <v>1.9812004164206979E-2</v>
      </c>
      <c r="C29" s="36">
        <f ca="1">CHOOSE(C$25,E38,E41,1)</f>
        <v>0.18936114494250114</v>
      </c>
      <c r="E29" s="42">
        <f ca="1">f3_/(F6/(365*re*phib))</f>
        <v>635.49125711929003</v>
      </c>
    </row>
    <row r="30" spans="1:39">
      <c r="A30" t="s">
        <v>95</v>
      </c>
      <c r="B30" s="28">
        <v>0.10462549838417393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0.31387649515252175</v>
      </c>
      <c r="G31">
        <f ca="1">SUMPRODUCT(dlz1_,wa,ma)</f>
        <v>-18.898848420373135</v>
      </c>
      <c r="H31">
        <f ca="1">Ro/(reck-1)*phie/phif^2*dphif</f>
        <v>-5849.8258516599162</v>
      </c>
      <c r="J31" s="8" t="s">
        <v>52</v>
      </c>
      <c r="K31">
        <v>0</v>
      </c>
      <c r="L31">
        <f t="shared" ref="L31:AH31" ca="1" si="23">K31*sa-K$7*K18*K$10</f>
        <v>-9.5844041550184955E-8</v>
      </c>
      <c r="M31">
        <f t="shared" ca="1" si="23"/>
        <v>-2.9152877384505318E-7</v>
      </c>
      <c r="N31">
        <f t="shared" ca="1" si="23"/>
        <v>-6.9964578687216516E-7</v>
      </c>
      <c r="O31">
        <f t="shared" ca="1" si="23"/>
        <v>-1.5624418516517463E-6</v>
      </c>
      <c r="P31">
        <f t="shared" ca="1" si="23"/>
        <v>-3.4213111267721981E-6</v>
      </c>
      <c r="Q31">
        <f t="shared" ca="1" si="23"/>
        <v>-9.1796398410644899E-6</v>
      </c>
      <c r="R31">
        <f t="shared" ca="1" si="23"/>
        <v>-5.59330938494647E-5</v>
      </c>
      <c r="S31">
        <f t="shared" ca="1" si="23"/>
        <v>-1.718875135772091E-4</v>
      </c>
      <c r="T31">
        <f t="shared" ca="1" si="23"/>
        <v>-4.1046843825010351E-4</v>
      </c>
      <c r="U31">
        <f t="shared" ca="1" si="23"/>
        <v>-9.0883642188924641E-4</v>
      </c>
      <c r="V31">
        <f t="shared" ca="1" si="23"/>
        <v>-1.9566752942180529E-3</v>
      </c>
      <c r="W31">
        <f t="shared" ca="1" si="23"/>
        <v>-4.1419911931708971E-3</v>
      </c>
      <c r="X31">
        <f t="shared" ca="1" si="23"/>
        <v>-8.5568200892500671E-3</v>
      </c>
      <c r="Y31">
        <f t="shared" ca="1" si="23"/>
        <v>-1.6793178370622046E-2</v>
      </c>
      <c r="Z31">
        <f t="shared" ca="1" si="23"/>
        <v>-2.975034072769096E-2</v>
      </c>
      <c r="AA31">
        <f t="shared" ca="1" si="23"/>
        <v>-4.4792654988770469E-2</v>
      </c>
      <c r="AB31">
        <f t="shared" ca="1" si="23"/>
        <v>-5.5774490874364854E-2</v>
      </c>
      <c r="AC31">
        <f t="shared" ca="1" si="23"/>
        <v>-5.8943853133521795E-2</v>
      </c>
      <c r="AD31">
        <f t="shared" ca="1" si="23"/>
        <v>-5.5438667460791048E-2</v>
      </c>
      <c r="AE31">
        <f t="shared" ca="1" si="23"/>
        <v>-4.8267453274209657E-2</v>
      </c>
      <c r="AF31">
        <f t="shared" ca="1" si="23"/>
        <v>-3.9918929069415084E-2</v>
      </c>
      <c r="AG31">
        <f t="shared" ca="1" si="23"/>
        <v>-3.1865172895631309E-2</v>
      </c>
      <c r="AH31">
        <f t="shared" ca="1" si="23"/>
        <v>-2.4796383600155125E-2</v>
      </c>
      <c r="AI31">
        <f ca="1">(AH31*sa-AH$7*AH18*AH$10)/oa-AH$7*AH$10*flt1_*sa/oa^2</f>
        <v>-7.1773379755814853E-2</v>
      </c>
    </row>
    <row r="32" spans="1:39">
      <c r="A32" s="12" t="s">
        <v>22</v>
      </c>
      <c r="B32" s="12"/>
      <c r="C32" s="12"/>
      <c r="G32">
        <f ca="1">SUMPRODUCT(dlz2_,wa,ma)</f>
        <v>-53.329143156736514</v>
      </c>
      <c r="H32">
        <f ca="1">Ro/(reck-1)*phie/phif^2*dphif</f>
        <v>-16507.153946419683</v>
      </c>
      <c r="J32" s="8" t="s">
        <v>53</v>
      </c>
      <c r="K32">
        <v>0</v>
      </c>
      <c r="L32">
        <f t="shared" ref="L32:AH32" ca="1" si="24">K32*sa-K$7*K19*K$10</f>
        <v>-2.4020775451950253E-3</v>
      </c>
      <c r="M32">
        <f t="shared" ca="1" si="24"/>
        <v>-2.8690757316578178E-2</v>
      </c>
      <c r="N32">
        <f t="shared" ca="1" si="24"/>
        <v>-0.17891631490194104</v>
      </c>
      <c r="O32">
        <f t="shared" ca="1" si="24"/>
        <v>-0.35860261614856193</v>
      </c>
      <c r="P32">
        <f t="shared" ca="1" si="24"/>
        <v>-0.47048581633551467</v>
      </c>
      <c r="Q32">
        <f t="shared" ca="1" si="24"/>
        <v>-0.5227499841326213</v>
      </c>
      <c r="R32">
        <f t="shared" ca="1" si="24"/>
        <v>-0.53275792588343496</v>
      </c>
      <c r="S32">
        <f t="shared" ca="1" si="24"/>
        <v>-0.51719533376326587</v>
      </c>
      <c r="T32">
        <f t="shared" ca="1" si="24"/>
        <v>-0.48706262529450678</v>
      </c>
      <c r="U32">
        <f t="shared" ca="1" si="24"/>
        <v>-0.44908864732338388</v>
      </c>
      <c r="V32">
        <f t="shared" ca="1" si="24"/>
        <v>-0.40712967519103682</v>
      </c>
      <c r="W32">
        <f t="shared" ca="1" si="24"/>
        <v>-0.36284268197164304</v>
      </c>
      <c r="X32">
        <f t="shared" ca="1" si="24"/>
        <v>-0.31597881275851375</v>
      </c>
      <c r="Y32">
        <f t="shared" ca="1" si="24"/>
        <v>-0.26529381152259524</v>
      </c>
      <c r="Z32">
        <f t="shared" ca="1" si="24"/>
        <v>-0.21114265606597735</v>
      </c>
      <c r="AA32">
        <f t="shared" ca="1" si="24"/>
        <v>-0.15974059651476605</v>
      </c>
      <c r="AB32">
        <f t="shared" ca="1" si="24"/>
        <v>-0.11652995060913311</v>
      </c>
      <c r="AC32">
        <f t="shared" ca="1" si="24"/>
        <v>-8.3302177301808958E-2</v>
      </c>
      <c r="AD32">
        <f t="shared" ca="1" si="24"/>
        <v>-5.8941252752285157E-2</v>
      </c>
      <c r="AE32">
        <f t="shared" ca="1" si="24"/>
        <v>-4.1478928178793777E-2</v>
      </c>
      <c r="AF32">
        <f t="shared" ca="1" si="24"/>
        <v>-2.9094566908511428E-2</v>
      </c>
      <c r="AG32">
        <f t="shared" ca="1" si="24"/>
        <v>-2.0360442023237342E-2</v>
      </c>
      <c r="AH32">
        <f t="shared" ca="1" si="24"/>
        <v>-1.4221731830143532E-2</v>
      </c>
      <c r="AI32">
        <f ca="1">(AH32*sa-AH$7*AH19*AH$10)/oa-AH$7*AH$10*flt2_*sa/oa^2</f>
        <v>-3.2472168654556946E-2</v>
      </c>
    </row>
    <row r="33" spans="1:35">
      <c r="A33" s="61" t="s">
        <v>130</v>
      </c>
      <c r="B33" s="62">
        <f ca="1">SUMPRODUCT(lz,wa)</f>
        <v>35.627372176098241</v>
      </c>
      <c r="C33" s="61"/>
      <c r="D33" s="63"/>
      <c r="E33" s="63"/>
      <c r="G33">
        <f ca="1">SUMPRODUCT(dlz3_,wa,ma)</f>
        <v>-99.362419272476529</v>
      </c>
      <c r="H33">
        <f ca="1">Ro/(reck-1)*phie/phif^2*dphif</f>
        <v>-30755.99295865079</v>
      </c>
      <c r="J33" s="8" t="s">
        <v>54</v>
      </c>
      <c r="K33">
        <v>0</v>
      </c>
      <c r="L33">
        <f t="shared" ref="L33:AH33" ca="1" si="25">K33*sa-K$7*K20*K$10</f>
        <v>-1.9377058540573638E-5</v>
      </c>
      <c r="M33">
        <f t="shared" ca="1" si="25"/>
        <v>-7.5993858584993767E-5</v>
      </c>
      <c r="N33">
        <f t="shared" ca="1" si="25"/>
        <v>-2.4394540845261214E-4</v>
      </c>
      <c r="O33">
        <f t="shared" ca="1" si="25"/>
        <v>-7.3981289830081065E-4</v>
      </c>
      <c r="P33">
        <f t="shared" ca="1" si="25"/>
        <v>-2.2215120551249442E-3</v>
      </c>
      <c r="Q33">
        <f t="shared" ca="1" si="25"/>
        <v>-1.4127917930729162E-2</v>
      </c>
      <c r="R33">
        <f t="shared" ca="1" si="25"/>
        <v>-0.17195199609121947</v>
      </c>
      <c r="S33">
        <f t="shared" ca="1" si="25"/>
        <v>-0.38173850095146056</v>
      </c>
      <c r="T33">
        <f t="shared" ca="1" si="25"/>
        <v>-0.52716797144550087</v>
      </c>
      <c r="U33">
        <f t="shared" ca="1" si="25"/>
        <v>-0.60238863029925271</v>
      </c>
      <c r="V33">
        <f t="shared" ca="1" si="25"/>
        <v>-0.62499753523751334</v>
      </c>
      <c r="W33">
        <f t="shared" ca="1" si="25"/>
        <v>-0.61057592074767575</v>
      </c>
      <c r="X33">
        <f t="shared" ca="1" si="25"/>
        <v>-0.5681449976174765</v>
      </c>
      <c r="Y33">
        <f t="shared" ca="1" si="25"/>
        <v>-0.50158220287369615</v>
      </c>
      <c r="Z33">
        <f t="shared" ca="1" si="25"/>
        <v>-0.41534181270870557</v>
      </c>
      <c r="AA33">
        <f t="shared" ca="1" si="25"/>
        <v>-0.32581467239953288</v>
      </c>
      <c r="AB33">
        <f t="shared" ca="1" si="25"/>
        <v>-0.2455870139824157</v>
      </c>
      <c r="AC33">
        <f t="shared" ca="1" si="25"/>
        <v>-0.18077051082251086</v>
      </c>
      <c r="AD33">
        <f t="shared" ca="1" si="25"/>
        <v>-0.13128191373695725</v>
      </c>
      <c r="AE33">
        <f t="shared" ca="1" si="25"/>
        <v>-9.4560651232785703E-2</v>
      </c>
      <c r="AF33">
        <f t="shared" ca="1" si="25"/>
        <v>-6.7724556080035442E-2</v>
      </c>
      <c r="AG33">
        <f t="shared" ca="1" si="25"/>
        <v>-4.8292149824271789E-2</v>
      </c>
      <c r="AH33">
        <f t="shared" ca="1" si="25"/>
        <v>-3.4310447844157654E-2</v>
      </c>
      <c r="AI33">
        <f ca="1">(AH33*sa-AH$7*AH20*AH$10)/oa-AH$7*AH$10*flt3_*sa/oa^2</f>
        <v>-8.1788288101235021E-2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17.137594381815482</v>
      </c>
      <c r="F35" s="37"/>
      <c r="G35" s="1">
        <f ca="1">SUM(dqa11_)</f>
        <v>284.84154594936922</v>
      </c>
      <c r="H35" s="1">
        <f ca="1">SUM(dqa12_)</f>
        <v>286.41970155317057</v>
      </c>
      <c r="I35" s="11">
        <f ca="1">SUM(dqa13_)</f>
        <v>285.28170125162438</v>
      </c>
      <c r="J35" s="8" t="s">
        <v>62</v>
      </c>
      <c r="K35">
        <f ca="1">flt1_*qa1_+lz*wa*flt1_^2/za*(sa-oa/za)</f>
        <v>3.0221484102943775E-16</v>
      </c>
      <c r="L35">
        <f t="shared" ref="L35:AI35" ca="1" si="26">flt1_*qa1_+lz*wa*flt1_^2/za*(sa-oa/za)</f>
        <v>1.281312919786981E-14</v>
      </c>
      <c r="M35">
        <f t="shared" ca="1" si="26"/>
        <v>2.5630933410469028E-13</v>
      </c>
      <c r="N35">
        <f t="shared" ca="1" si="26"/>
        <v>3.6960517618607089E-12</v>
      </c>
      <c r="O35">
        <f t="shared" ca="1" si="26"/>
        <v>4.4938068954099456E-11</v>
      </c>
      <c r="P35">
        <f t="shared" ca="1" si="26"/>
        <v>9.2405936221391112E-10</v>
      </c>
      <c r="Q35">
        <f t="shared" ca="1" si="26"/>
        <v>1.1384753657022307E-7</v>
      </c>
      <c r="R35">
        <f t="shared" ca="1" si="26"/>
        <v>1.5423501294612205E-6</v>
      </c>
      <c r="S35">
        <f t="shared" ca="1" si="26"/>
        <v>1.3429992160471811E-5</v>
      </c>
      <c r="T35">
        <f t="shared" ca="1" si="26"/>
        <v>1.1049406520883039E-4</v>
      </c>
      <c r="U35">
        <f t="shared" ca="1" si="26"/>
        <v>8.7403227082476264E-4</v>
      </c>
      <c r="V35">
        <f t="shared" ca="1" si="26"/>
        <v>6.6247685700750059E-3</v>
      </c>
      <c r="W35">
        <f t="shared" ca="1" si="26"/>
        <v>4.7195427526348102E-2</v>
      </c>
      <c r="X35">
        <f t="shared" ca="1" si="26"/>
        <v>0.3003422579252043</v>
      </c>
      <c r="Y35">
        <f t="shared" ca="1" si="26"/>
        <v>1.5403963484900809</v>
      </c>
      <c r="Z35">
        <f t="shared" ca="1" si="26"/>
        <v>5.5237007122496644</v>
      </c>
      <c r="AA35">
        <f t="shared" ca="1" si="26"/>
        <v>12.807740859663722</v>
      </c>
      <c r="AB35">
        <f t="shared" ca="1" si="26"/>
        <v>20.582080996535826</v>
      </c>
      <c r="AC35">
        <f t="shared" ca="1" si="26"/>
        <v>26.472709543477027</v>
      </c>
      <c r="AD35">
        <f t="shared" ca="1" si="26"/>
        <v>30.485158723444489</v>
      </c>
      <c r="AE35">
        <f t="shared" ca="1" si="26"/>
        <v>33.364938883510611</v>
      </c>
      <c r="AF35">
        <f t="shared" ca="1" si="26"/>
        <v>35.654418226363603</v>
      </c>
      <c r="AG35">
        <f t="shared" ca="1" si="26"/>
        <v>37.631963481528075</v>
      </c>
      <c r="AH35">
        <f t="shared" ca="1" si="26"/>
        <v>39.424645468156349</v>
      </c>
      <c r="AI35">
        <f t="shared" ca="1" si="26"/>
        <v>40.998630638429319</v>
      </c>
    </row>
    <row r="36" spans="1:35">
      <c r="A36" t="s">
        <v>33</v>
      </c>
      <c r="B36" s="1">
        <f ca="1">SUMPRODUCT(lz,ta1_)</f>
        <v>0.18356874093177347</v>
      </c>
      <c r="C36" s="29">
        <f ca="1">B11/(phi_t1/SUM(B$36:B$38))</f>
        <v>4.1955113336041103</v>
      </c>
      <c r="E36" s="38">
        <f ca="1">C36/AVERAGE(C$36:C$38)</f>
        <v>2.1691329118061713</v>
      </c>
      <c r="G36" s="1">
        <f ca="1">SUM(dqa21_)</f>
        <v>286.41970155317057</v>
      </c>
      <c r="H36" s="1">
        <f ca="1">SUM(dqa22_)</f>
        <v>15.241871717280086</v>
      </c>
      <c r="I36" s="11">
        <f ca="1">SUM(dqa23_)</f>
        <v>284.74895362036665</v>
      </c>
      <c r="J36" s="8" t="s">
        <v>63</v>
      </c>
      <c r="K36">
        <f t="shared" ref="K36:AI36" ca="1" si="27">flt2_*qa2_+lz*wa*flt2_^2/za*(sa-oa/za)</f>
        <v>1.8982770492172292E-7</v>
      </c>
      <c r="L36">
        <f t="shared" ca="1" si="27"/>
        <v>2.0569199889353587E-4</v>
      </c>
      <c r="M36">
        <f t="shared" ca="1" si="27"/>
        <v>2.965109632266906E-2</v>
      </c>
      <c r="N36">
        <f t="shared" ca="1" si="27"/>
        <v>0.16887078382040072</v>
      </c>
      <c r="O36">
        <f t="shared" ca="1" si="27"/>
        <v>0.28952021647720555</v>
      </c>
      <c r="P36">
        <f t="shared" ca="1" si="27"/>
        <v>0.39364503871335987</v>
      </c>
      <c r="Q36">
        <f t="shared" ca="1" si="27"/>
        <v>0.48646461345677938</v>
      </c>
      <c r="R36">
        <f t="shared" ca="1" si="27"/>
        <v>0.56371584651788897</v>
      </c>
      <c r="S36">
        <f t="shared" ca="1" si="27"/>
        <v>0.62340377027626914</v>
      </c>
      <c r="T36">
        <f t="shared" ca="1" si="27"/>
        <v>0.6628071441542871</v>
      </c>
      <c r="U36">
        <f t="shared" ca="1" si="27"/>
        <v>0.68211000099472752</v>
      </c>
      <c r="V36">
        <f t="shared" ca="1" si="27"/>
        <v>0.68310684719352555</v>
      </c>
      <c r="W36">
        <f t="shared" ca="1" si="27"/>
        <v>0.66804912105072223</v>
      </c>
      <c r="X36">
        <f t="shared" ca="1" si="27"/>
        <v>0.63887231027068847</v>
      </c>
      <c r="Y36">
        <f t="shared" ca="1" si="27"/>
        <v>0.59734766361837932</v>
      </c>
      <c r="Z36">
        <f t="shared" ca="1" si="27"/>
        <v>0.64934873112311386</v>
      </c>
      <c r="AA36">
        <f t="shared" ca="1" si="27"/>
        <v>0.69771981849886899</v>
      </c>
      <c r="AB36">
        <f t="shared" ca="1" si="27"/>
        <v>0.74761230511407617</v>
      </c>
      <c r="AC36">
        <f t="shared" ca="1" si="27"/>
        <v>0.8000285702363753</v>
      </c>
      <c r="AD36">
        <f t="shared" ca="1" si="27"/>
        <v>0.85318246653141117</v>
      </c>
      <c r="AE36">
        <f t="shared" ca="1" si="27"/>
        <v>0.90541187616027863</v>
      </c>
      <c r="AF36">
        <f t="shared" ca="1" si="27"/>
        <v>0.95582211290160257</v>
      </c>
      <c r="AG36">
        <f t="shared" ca="1" si="27"/>
        <v>1.0040302262259333</v>
      </c>
      <c r="AH36">
        <f t="shared" ca="1" si="27"/>
        <v>1.0499053989144624</v>
      </c>
      <c r="AI36">
        <f t="shared" ca="1" si="27"/>
        <v>1.0910398768804619</v>
      </c>
    </row>
    <row r="37" spans="1:35">
      <c r="A37" t="s">
        <v>34</v>
      </c>
      <c r="B37" s="1">
        <f ca="1">SUMPRODUCT(lz,ta2_)</f>
        <v>1.2062891888423593</v>
      </c>
      <c r="C37" s="29">
        <f ca="1">B12/(phi_t2/SUM(B$36:B$38))</f>
        <v>1.2407791432367183</v>
      </c>
      <c r="E37" s="38">
        <f ca="1">C37/AVERAGE(C$36:C$38)</f>
        <v>0.64149865460270306</v>
      </c>
      <c r="G37" s="1">
        <f ca="1">SUM(dqa31_)</f>
        <v>285.28170125162438</v>
      </c>
      <c r="H37" s="1">
        <f ca="1">SUM(dqa32_)</f>
        <v>284.74895362036665</v>
      </c>
      <c r="I37" s="1">
        <f ca="1">SUM(dqa33_)</f>
        <v>167.59558517943788</v>
      </c>
      <c r="J37" s="8" t="s">
        <v>64</v>
      </c>
      <c r="K37">
        <f t="shared" ref="K37:AI37" ca="1" si="28">flt3_*qa3_+lz*wa*flt3_^2/za*(sa-oa/za)</f>
        <v>1.2352681756903047E-11</v>
      </c>
      <c r="L37">
        <f t="shared" ca="1" si="28"/>
        <v>1.0278805979580535E-9</v>
      </c>
      <c r="M37">
        <f t="shared" ca="1" si="28"/>
        <v>4.0169489726162333E-8</v>
      </c>
      <c r="N37">
        <f t="shared" ca="1" si="28"/>
        <v>1.1122572535909444E-6</v>
      </c>
      <c r="O37">
        <f t="shared" ca="1" si="28"/>
        <v>2.5869360573534049E-5</v>
      </c>
      <c r="P37">
        <f t="shared" ca="1" si="28"/>
        <v>3.4777516100473181E-3</v>
      </c>
      <c r="Q37">
        <f t="shared" ca="1" si="28"/>
        <v>1.2516075633516279</v>
      </c>
      <c r="R37">
        <f t="shared" ca="1" si="28"/>
        <v>5.6029296395980204</v>
      </c>
      <c r="S37">
        <f t="shared" ca="1" si="28"/>
        <v>8.2800729738248151</v>
      </c>
      <c r="T37">
        <f t="shared" ca="1" si="28"/>
        <v>9.2179636934039806</v>
      </c>
      <c r="U37">
        <f t="shared" ca="1" si="28"/>
        <v>9.3050493604686846</v>
      </c>
      <c r="V37">
        <f t="shared" ca="1" si="28"/>
        <v>8.9882196816231499</v>
      </c>
      <c r="W37">
        <f t="shared" ca="1" si="28"/>
        <v>8.4425215507267541</v>
      </c>
      <c r="X37">
        <f t="shared" ca="1" si="28"/>
        <v>7.7462938168605069</v>
      </c>
      <c r="Y37">
        <f t="shared" ca="1" si="28"/>
        <v>6.9471577812827379</v>
      </c>
      <c r="Z37">
        <f t="shared" ca="1" si="28"/>
        <v>7.5519305840459214</v>
      </c>
      <c r="AA37">
        <f t="shared" ca="1" si="28"/>
        <v>8.1144866908465119</v>
      </c>
      <c r="AB37">
        <f t="shared" ca="1" si="28"/>
        <v>8.6947366821444056</v>
      </c>
      <c r="AC37">
        <f t="shared" ca="1" si="28"/>
        <v>9.3043382362952833</v>
      </c>
      <c r="AD37">
        <f t="shared" ca="1" si="28"/>
        <v>9.922518446484343</v>
      </c>
      <c r="AE37">
        <f t="shared" ca="1" si="28"/>
        <v>10.529946869853548</v>
      </c>
      <c r="AF37">
        <f t="shared" ca="1" si="28"/>
        <v>11.116218298978158</v>
      </c>
      <c r="AG37">
        <f t="shared" ca="1" si="28"/>
        <v>11.67687901634566</v>
      </c>
      <c r="AH37">
        <f t="shared" ca="1" si="28"/>
        <v>12.210407616726044</v>
      </c>
      <c r="AI37">
        <f t="shared" ca="1" si="28"/>
        <v>12.688801902140145</v>
      </c>
    </row>
    <row r="38" spans="1:35">
      <c r="A38" t="s">
        <v>35</v>
      </c>
      <c r="B38" s="1">
        <f ca="1">SUMPRODUCT(lz,ta3_)</f>
        <v>1.3839506952132063</v>
      </c>
      <c r="C38" s="29">
        <f ca="1">B13/(phi_t3/SUM(B$36:B$38))</f>
        <v>0.36627419418797735</v>
      </c>
      <c r="E38" s="38">
        <f ca="1">C38/AVERAGE(C$36:C$38)</f>
        <v>0.18936843359112596</v>
      </c>
      <c r="G38" t="s">
        <v>69</v>
      </c>
      <c r="J38" s="8" t="s">
        <v>60</v>
      </c>
      <c r="K38">
        <f t="shared" ref="K38:AI38" ca="1" si="29">flt1_*qa1_+lz*wa*flt2_*flt1_/za*(sa-oa/za)</f>
        <v>-7.2038366887072308E-12</v>
      </c>
      <c r="L38">
        <f t="shared" ca="1" si="29"/>
        <v>-1.1724236768955939E-9</v>
      </c>
      <c r="M38">
        <f t="shared" ca="1" si="29"/>
        <v>-4.8864138751403402E-8</v>
      </c>
      <c r="N38">
        <f t="shared" ca="1" si="29"/>
        <v>-3.4430536643152349E-7</v>
      </c>
      <c r="O38">
        <f t="shared" ca="1" si="29"/>
        <v>-1.2306400214327724E-6</v>
      </c>
      <c r="P38">
        <f t="shared" ca="1" si="29"/>
        <v>-5.1734696815094701E-6</v>
      </c>
      <c r="Q38">
        <f t="shared" ca="1" si="29"/>
        <v>-5.1178125077098605E-5</v>
      </c>
      <c r="R38">
        <f t="shared" ca="1" si="29"/>
        <v>-1.6150187096804572E-4</v>
      </c>
      <c r="S38">
        <f t="shared" ca="1" si="29"/>
        <v>-3.9206862422383883E-4</v>
      </c>
      <c r="T38">
        <f t="shared" ca="1" si="29"/>
        <v>-8.5181424751472844E-4</v>
      </c>
      <c r="U38">
        <f t="shared" ca="1" si="29"/>
        <v>-1.3110679332415092E-3</v>
      </c>
      <c r="V38">
        <f t="shared" ca="1" si="29"/>
        <v>2.0145588315685628E-3</v>
      </c>
      <c r="W38">
        <f t="shared" ca="1" si="29"/>
        <v>3.9061592672945247E-2</v>
      </c>
      <c r="X38">
        <f t="shared" ca="1" si="29"/>
        <v>0.29331841092468613</v>
      </c>
      <c r="Y38">
        <f t="shared" ca="1" si="29"/>
        <v>1.5642707788862316</v>
      </c>
      <c r="Z38">
        <f t="shared" ca="1" si="29"/>
        <v>5.6400026128987166</v>
      </c>
      <c r="AA38">
        <f t="shared" ca="1" si="29"/>
        <v>13.041546876904311</v>
      </c>
      <c r="AB38">
        <f t="shared" ca="1" si="29"/>
        <v>20.863433429156874</v>
      </c>
      <c r="AC38">
        <f t="shared" ca="1" si="29"/>
        <v>26.726649671666451</v>
      </c>
      <c r="AD38">
        <f t="shared" ca="1" si="29"/>
        <v>30.684705643038342</v>
      </c>
      <c r="AE38">
        <f t="shared" ca="1" si="29"/>
        <v>33.512317344768725</v>
      </c>
      <c r="AF38">
        <f t="shared" ca="1" si="29"/>
        <v>35.760259247469271</v>
      </c>
      <c r="AG38">
        <f t="shared" ca="1" si="29"/>
        <v>37.706934031475434</v>
      </c>
      <c r="AH38">
        <f t="shared" ca="1" si="29"/>
        <v>39.477335403943144</v>
      </c>
      <c r="AI38">
        <f t="shared" ca="1" si="29"/>
        <v>41.110626379793771</v>
      </c>
    </row>
    <row r="39" spans="1:35">
      <c r="A39" s="1" t="s">
        <v>36</v>
      </c>
      <c r="B39" s="1">
        <f ca="1">SUMPRODUCT(lz,qa1_)</f>
        <v>6.0265210987671782</v>
      </c>
      <c r="C39" s="23">
        <f ca="1">B4/(phi_q1/SUM(B$39:B$41))</f>
        <v>3.3257164120085094</v>
      </c>
      <c r="D39" s="21"/>
      <c r="E39" s="39">
        <f ca="1">C39/AVERAGE(C$39:C$41)</f>
        <v>2.1690514989954237</v>
      </c>
      <c r="G39" s="1">
        <f ca="1">re*phi_q1+f1_*phi_q1*$H31+f1_*re*G35</f>
        <v>1416502.4499563875</v>
      </c>
      <c r="H39" s="1">
        <f ca="1">re*phi_q1+f1_*phi_q1*$H32+f1_*re*H35</f>
        <v>1409146.3378827511</v>
      </c>
      <c r="I39" s="1">
        <f ca="1">re*phi_q1+f1_*phi_q1*$H33+f1_*re*I35</f>
        <v>1384453.1127367008</v>
      </c>
      <c r="J39" s="8" t="s">
        <v>66</v>
      </c>
      <c r="K39">
        <f t="shared" ref="K39:AI39" ca="1" si="30">flt1_*qa1_+lz*wa*flt3_*flt1_/za*(sa-oa/za)</f>
        <v>-5.7526929907812395E-14</v>
      </c>
      <c r="L39">
        <f t="shared" ca="1" si="30"/>
        <v>-2.5988630538212984E-12</v>
      </c>
      <c r="M39">
        <f t="shared" ca="1" si="30"/>
        <v>-5.647504683693751E-11</v>
      </c>
      <c r="N39">
        <f t="shared" ca="1" si="30"/>
        <v>-8.7833412737677163E-10</v>
      </c>
      <c r="O39">
        <f t="shared" ca="1" si="30"/>
        <v>-1.1573103529028117E-8</v>
      </c>
      <c r="P39">
        <f t="shared" ca="1" si="30"/>
        <v>-4.8520712615448001E-7</v>
      </c>
      <c r="Q39">
        <f t="shared" ca="1" si="30"/>
        <v>-8.2174247836362967E-5</v>
      </c>
      <c r="R39">
        <f t="shared" ca="1" si="30"/>
        <v>-5.1306254588406137E-4</v>
      </c>
      <c r="S39">
        <f t="shared" ca="1" si="30"/>
        <v>-1.4693910438839388E-3</v>
      </c>
      <c r="T39">
        <f t="shared" ca="1" si="30"/>
        <v>-3.5125683686781694E-3</v>
      </c>
      <c r="U39">
        <f t="shared" ca="1" si="30"/>
        <v>-7.4150225453723179E-3</v>
      </c>
      <c r="V39">
        <f t="shared" ca="1" si="30"/>
        <v>-1.1421339380859569E-2</v>
      </c>
      <c r="W39">
        <f t="shared" ca="1" si="30"/>
        <v>1.075694160132129E-2</v>
      </c>
      <c r="X39">
        <f t="shared" ca="1" si="30"/>
        <v>0.23785887574057885</v>
      </c>
      <c r="Y39">
        <f t="shared" ca="1" si="30"/>
        <v>1.4692887382944939</v>
      </c>
      <c r="Z39">
        <f t="shared" ca="1" si="30"/>
        <v>5.4937431467331166</v>
      </c>
      <c r="AA39">
        <f t="shared" ca="1" si="30"/>
        <v>12.869969663607094</v>
      </c>
      <c r="AB39">
        <f t="shared" ca="1" si="30"/>
        <v>20.703756714537231</v>
      </c>
      <c r="AC39">
        <f t="shared" ca="1" si="30"/>
        <v>26.59785764795215</v>
      </c>
      <c r="AD39">
        <f t="shared" ca="1" si="30"/>
        <v>30.588079026456985</v>
      </c>
      <c r="AE39">
        <f t="shared" ca="1" si="30"/>
        <v>33.442260023011762</v>
      </c>
      <c r="AF39">
        <f t="shared" ca="1" si="30"/>
        <v>35.710312466205224</v>
      </c>
      <c r="AG39">
        <f t="shared" ca="1" si="30"/>
        <v>37.671655983027811</v>
      </c>
      <c r="AH39">
        <f t="shared" ca="1" si="30"/>
        <v>39.452569226913702</v>
      </c>
      <c r="AI39">
        <f t="shared" ca="1" si="30"/>
        <v>41.05800685339311</v>
      </c>
    </row>
    <row r="40" spans="1:35">
      <c r="A40" s="1" t="s">
        <v>37</v>
      </c>
      <c r="B40" s="1">
        <f ca="1">SUMPRODUCT(lz,qa2_)</f>
        <v>7.5984206687487044</v>
      </c>
      <c r="C40" s="23">
        <f ca="1">B5/(phi_q2/SUM(B$39:B$41))</f>
        <v>0.9837191974376871</v>
      </c>
      <c r="D40" s="21"/>
      <c r="E40" s="39">
        <f ca="1">C40/AVERAGE(C$39:C$41)</f>
        <v>0.64158735606207518</v>
      </c>
      <c r="G40" s="1">
        <f ca="1">re*phi_q1+f1_*phi_q1*$H32+f1_*re*G36</f>
        <v>1409146.3378827511</v>
      </c>
      <c r="H40" s="1">
        <f ca="1">re*phi_q2+f2_*phi_q2*$H32+f2_*re*H36</f>
        <v>165371.15076835587</v>
      </c>
      <c r="I40" s="1">
        <f ca="1">re*phi_q3+f3_*phi_q3*$H33+f3_*re*I36</f>
        <v>496396.27148799819</v>
      </c>
      <c r="J40" s="8" t="s">
        <v>65</v>
      </c>
      <c r="K40">
        <f t="shared" ref="K40:AI40" ca="1" si="31">flt1_*qa1_+lz*wa*flt1_*flt2_/za*(sa-oa/za)</f>
        <v>-7.2038366887072308E-12</v>
      </c>
      <c r="L40">
        <f t="shared" ca="1" si="31"/>
        <v>-1.1724236768955939E-9</v>
      </c>
      <c r="M40">
        <f t="shared" ca="1" si="31"/>
        <v>-4.8864138751403402E-8</v>
      </c>
      <c r="N40">
        <f t="shared" ca="1" si="31"/>
        <v>-3.4430536643152349E-7</v>
      </c>
      <c r="O40">
        <f t="shared" ca="1" si="31"/>
        <v>-1.2306400214327724E-6</v>
      </c>
      <c r="P40">
        <f t="shared" ca="1" si="31"/>
        <v>-5.1734696815094701E-6</v>
      </c>
      <c r="Q40">
        <f t="shared" ca="1" si="31"/>
        <v>-5.1178125077098605E-5</v>
      </c>
      <c r="R40">
        <f t="shared" ca="1" si="31"/>
        <v>-1.6150187096804572E-4</v>
      </c>
      <c r="S40">
        <f t="shared" ca="1" si="31"/>
        <v>-3.9206862422383883E-4</v>
      </c>
      <c r="T40">
        <f t="shared" ca="1" si="31"/>
        <v>-8.5181424751472876E-4</v>
      </c>
      <c r="U40">
        <f t="shared" ca="1" si="31"/>
        <v>-1.3110679332415092E-3</v>
      </c>
      <c r="V40">
        <f t="shared" ca="1" si="31"/>
        <v>2.0145588315685628E-3</v>
      </c>
      <c r="W40">
        <f t="shared" ca="1" si="31"/>
        <v>3.9061592672945247E-2</v>
      </c>
      <c r="X40">
        <f t="shared" ca="1" si="31"/>
        <v>0.29331841092468613</v>
      </c>
      <c r="Y40">
        <f t="shared" ca="1" si="31"/>
        <v>1.5642707788862316</v>
      </c>
      <c r="Z40">
        <f t="shared" ca="1" si="31"/>
        <v>5.6400026128987166</v>
      </c>
      <c r="AA40">
        <f t="shared" ca="1" si="31"/>
        <v>13.041546876904311</v>
      </c>
      <c r="AB40">
        <f t="shared" ca="1" si="31"/>
        <v>20.863433429156874</v>
      </c>
      <c r="AC40">
        <f t="shared" ca="1" si="31"/>
        <v>26.726649671666451</v>
      </c>
      <c r="AD40">
        <f t="shared" ca="1" si="31"/>
        <v>30.684705643038342</v>
      </c>
      <c r="AE40">
        <f t="shared" ca="1" si="31"/>
        <v>33.512317344768725</v>
      </c>
      <c r="AF40">
        <f t="shared" ca="1" si="31"/>
        <v>35.760259247469271</v>
      </c>
      <c r="AG40">
        <f t="shared" ca="1" si="31"/>
        <v>37.706934031475434</v>
      </c>
      <c r="AH40">
        <f t="shared" ca="1" si="31"/>
        <v>39.477335403943144</v>
      </c>
      <c r="AI40">
        <f t="shared" ca="1" si="31"/>
        <v>41.110626379793771</v>
      </c>
    </row>
    <row r="41" spans="1:35">
      <c r="A41" s="1" t="s">
        <v>38</v>
      </c>
      <c r="B41" s="1">
        <f ca="1">SUMPRODUCT(lz,qa3_)</f>
        <v>19.575940752080744</v>
      </c>
      <c r="C41" s="23">
        <f ca="1">B6/(phi_q3/SUM(B$39:B$41))</f>
        <v>0.29033956447030712</v>
      </c>
      <c r="D41" s="21"/>
      <c r="E41" s="39">
        <f ca="1">C41/AVERAGE(C$39:C$41)</f>
        <v>0.18936114494250114</v>
      </c>
      <c r="G41" s="1">
        <f ca="1">re*phi_q1+f1_*phi_q1*$H33+f1_*re*G37</f>
        <v>1384453.1127367008</v>
      </c>
      <c r="H41" s="1">
        <f ca="1">re*phi_q3+f3_*phi_q3*$H33+f3_*re*H37</f>
        <v>496396.27148799819</v>
      </c>
      <c r="I41" s="1">
        <f ca="1">re*phi_q3+f1_*phi_q3*$H33+f3_*re*I37</f>
        <v>324903.4169474119</v>
      </c>
      <c r="J41" s="8" t="s">
        <v>67</v>
      </c>
      <c r="K41">
        <f t="shared" ref="K41:AI41" ca="1" si="32">flt1_*qa1_+lz*wa*flt3_*flt2_/za*(sa-oa/za)</f>
        <v>-1.4565384829775008E-9</v>
      </c>
      <c r="L41">
        <f t="shared" ca="1" si="32"/>
        <v>-3.3207521087230511E-7</v>
      </c>
      <c r="M41">
        <f t="shared" ca="1" si="32"/>
        <v>-1.9344599411935194E-5</v>
      </c>
      <c r="N41">
        <f t="shared" ca="1" si="32"/>
        <v>-1.8887917380413667E-4</v>
      </c>
      <c r="O41">
        <f t="shared" ca="1" si="32"/>
        <v>-9.3376570575040433E-4</v>
      </c>
      <c r="P41">
        <f t="shared" ca="1" si="32"/>
        <v>-1.0038753925799242E-2</v>
      </c>
      <c r="Q41">
        <f t="shared" ca="1" si="32"/>
        <v>-0.170149809209273</v>
      </c>
      <c r="R41">
        <f t="shared" ca="1" si="32"/>
        <v>-0.31127048287801751</v>
      </c>
      <c r="S41">
        <f t="shared" ca="1" si="32"/>
        <v>-0.31986610672240195</v>
      </c>
      <c r="T41">
        <f t="shared" ca="1" si="32"/>
        <v>-0.28145973930546087</v>
      </c>
      <c r="U41">
        <f t="shared" ca="1" si="32"/>
        <v>-0.23287370477878119</v>
      </c>
      <c r="V41">
        <f t="shared" ca="1" si="32"/>
        <v>-0.18123482146372291</v>
      </c>
      <c r="W41">
        <f t="shared" ca="1" si="32"/>
        <v>-9.8031179755647319E-2</v>
      </c>
      <c r="X41">
        <f t="shared" ca="1" si="32"/>
        <v>0.20218799726074271</v>
      </c>
      <c r="Y41">
        <f t="shared" ca="1" si="32"/>
        <v>1.51999018596754</v>
      </c>
      <c r="Z41">
        <f t="shared" ca="1" si="32"/>
        <v>5.6297311938862729</v>
      </c>
      <c r="AA41">
        <f t="shared" ca="1" si="32"/>
        <v>13.056071193850883</v>
      </c>
      <c r="AB41">
        <f t="shared" ca="1" si="32"/>
        <v>20.886623255511516</v>
      </c>
      <c r="AC41">
        <f t="shared" ca="1" si="32"/>
        <v>26.748405610395054</v>
      </c>
      <c r="AD41">
        <f t="shared" ca="1" si="32"/>
        <v>30.701923448113291</v>
      </c>
      <c r="AE41">
        <f t="shared" ca="1" si="32"/>
        <v>33.525054609411647</v>
      </c>
      <c r="AF41">
        <f t="shared" ca="1" si="32"/>
        <v>35.769410887172455</v>
      </c>
      <c r="AG41">
        <f t="shared" ca="1" si="32"/>
        <v>37.713417440545783</v>
      </c>
      <c r="AH41">
        <f t="shared" ca="1" si="32"/>
        <v>39.481892257412106</v>
      </c>
      <c r="AI41">
        <f t="shared" ca="1" si="32"/>
        <v>41.120312461889192</v>
      </c>
    </row>
    <row r="42" spans="1:35">
      <c r="A42" s="1" t="s">
        <v>96</v>
      </c>
      <c r="B42" s="1">
        <f ca="1">SUMPRODUCT(lz/SUM(lz),len,ta1_)</f>
        <v>4.3876610614304052</v>
      </c>
      <c r="J42" s="8" t="s">
        <v>68</v>
      </c>
      <c r="K42">
        <f t="shared" ref="K42:AI42" ca="1" si="33">flt1_*qa1_+lz*wa*flt1_*flt3_/za*(sa-oa/za)</f>
        <v>-5.7526929907812395E-14</v>
      </c>
      <c r="L42">
        <f t="shared" ca="1" si="33"/>
        <v>-2.598863053821298E-12</v>
      </c>
      <c r="M42">
        <f t="shared" ca="1" si="33"/>
        <v>-5.647504683693751E-11</v>
      </c>
      <c r="N42">
        <f t="shared" ca="1" si="33"/>
        <v>-8.7833412737677153E-10</v>
      </c>
      <c r="O42">
        <f t="shared" ca="1" si="33"/>
        <v>-1.1573103529028119E-8</v>
      </c>
      <c r="P42">
        <f t="shared" ca="1" si="33"/>
        <v>-4.8520712615448001E-7</v>
      </c>
      <c r="Q42">
        <f t="shared" ca="1" si="33"/>
        <v>-8.2174247836362967E-5</v>
      </c>
      <c r="R42">
        <f t="shared" ca="1" si="33"/>
        <v>-5.1306254588406137E-4</v>
      </c>
      <c r="S42">
        <f t="shared" ca="1" si="33"/>
        <v>-1.4693910438839388E-3</v>
      </c>
      <c r="T42">
        <f t="shared" ca="1" si="33"/>
        <v>-3.5125683686781694E-3</v>
      </c>
      <c r="U42">
        <f t="shared" ca="1" si="33"/>
        <v>-7.4150225453723179E-3</v>
      </c>
      <c r="V42">
        <f t="shared" ca="1" si="33"/>
        <v>-1.1421339380859569E-2</v>
      </c>
      <c r="W42">
        <f t="shared" ca="1" si="33"/>
        <v>1.075694160132129E-2</v>
      </c>
      <c r="X42">
        <f t="shared" ca="1" si="33"/>
        <v>0.23785887574057885</v>
      </c>
      <c r="Y42">
        <f t="shared" ca="1" si="33"/>
        <v>1.4692887382944939</v>
      </c>
      <c r="Z42">
        <f t="shared" ca="1" si="33"/>
        <v>5.4937431467331166</v>
      </c>
      <c r="AA42">
        <f t="shared" ca="1" si="33"/>
        <v>12.869969663607094</v>
      </c>
      <c r="AB42">
        <f t="shared" ca="1" si="33"/>
        <v>20.703756714537231</v>
      </c>
      <c r="AC42">
        <f t="shared" ca="1" si="33"/>
        <v>26.59785764795215</v>
      </c>
      <c r="AD42">
        <f t="shared" ca="1" si="33"/>
        <v>30.588079026456985</v>
      </c>
      <c r="AE42">
        <f t="shared" ca="1" si="33"/>
        <v>33.442260023011762</v>
      </c>
      <c r="AF42">
        <f t="shared" ca="1" si="33"/>
        <v>35.710312466205224</v>
      </c>
      <c r="AG42">
        <f t="shared" ca="1" si="33"/>
        <v>37.671655983027811</v>
      </c>
      <c r="AH42">
        <f t="shared" ca="1" si="33"/>
        <v>39.452569226913702</v>
      </c>
      <c r="AI42">
        <f t="shared" ca="1" si="33"/>
        <v>41.05800685339311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-1.4565384829775006E-9</v>
      </c>
      <c r="L43">
        <f t="shared" ca="1" si="34"/>
        <v>-3.3207521087230511E-7</v>
      </c>
      <c r="M43">
        <f t="shared" ca="1" si="34"/>
        <v>-1.9344599411935194E-5</v>
      </c>
      <c r="N43">
        <f t="shared" ca="1" si="34"/>
        <v>-1.8887917380413667E-4</v>
      </c>
      <c r="O43">
        <f t="shared" ca="1" si="34"/>
        <v>-9.3376570575040444E-4</v>
      </c>
      <c r="P43">
        <f t="shared" ca="1" si="34"/>
        <v>-1.003875392579924E-2</v>
      </c>
      <c r="Q43">
        <f t="shared" ca="1" si="34"/>
        <v>-0.170149809209273</v>
      </c>
      <c r="R43">
        <f t="shared" ca="1" si="34"/>
        <v>-0.31127048287801751</v>
      </c>
      <c r="S43">
        <f t="shared" ca="1" si="34"/>
        <v>-0.31986610672240195</v>
      </c>
      <c r="T43">
        <f t="shared" ca="1" si="34"/>
        <v>-0.28145973930546087</v>
      </c>
      <c r="U43">
        <f t="shared" ca="1" si="34"/>
        <v>-0.23287370477878119</v>
      </c>
      <c r="V43">
        <f t="shared" ca="1" si="34"/>
        <v>-0.18123482146372291</v>
      </c>
      <c r="W43">
        <f t="shared" ca="1" si="34"/>
        <v>-9.8031179755647319E-2</v>
      </c>
      <c r="X43">
        <f t="shared" ca="1" si="34"/>
        <v>0.20218799726074271</v>
      </c>
      <c r="Y43">
        <f t="shared" ca="1" si="34"/>
        <v>1.51999018596754</v>
      </c>
      <c r="Z43">
        <f t="shared" ca="1" si="34"/>
        <v>5.6297311938862729</v>
      </c>
      <c r="AA43">
        <f t="shared" ca="1" si="34"/>
        <v>13.056071193850883</v>
      </c>
      <c r="AB43">
        <f t="shared" ca="1" si="34"/>
        <v>20.886623255511516</v>
      </c>
      <c r="AC43">
        <f t="shared" ca="1" si="34"/>
        <v>26.748405610395054</v>
      </c>
      <c r="AD43">
        <f t="shared" ca="1" si="34"/>
        <v>30.701923448113291</v>
      </c>
      <c r="AE43">
        <f t="shared" ca="1" si="34"/>
        <v>33.525054609411647</v>
      </c>
      <c r="AF43">
        <f t="shared" ca="1" si="34"/>
        <v>35.769410887172455</v>
      </c>
      <c r="AG43">
        <f t="shared" ca="1" si="34"/>
        <v>37.713417440545783</v>
      </c>
      <c r="AH43">
        <f t="shared" ca="1" si="34"/>
        <v>39.481892257412106</v>
      </c>
      <c r="AI43">
        <f t="shared" ca="1" si="34"/>
        <v>41.120312461889192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0.39999999999844532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5.2944611689017759E-9</v>
      </c>
      <c r="L46">
        <f t="shared" ca="1" si="35"/>
        <v>6.6688988514937354E-8</v>
      </c>
      <c r="M46">
        <f t="shared" ca="1" si="35"/>
        <v>4.0596219638379628E-7</v>
      </c>
      <c r="N46">
        <f t="shared" ca="1" si="35"/>
        <v>1.7832459812840088E-6</v>
      </c>
      <c r="O46">
        <f t="shared" ca="1" si="35"/>
        <v>6.5851216437411688E-6</v>
      </c>
      <c r="P46">
        <f t="shared" ca="1" si="35"/>
        <v>3.0134100566189202E-5</v>
      </c>
      <c r="Q46">
        <f t="shared" ca="1" si="35"/>
        <v>3.2604805729605154E-4</v>
      </c>
      <c r="R46">
        <f t="shared" ca="1" si="35"/>
        <v>1.1321335563586751E-3</v>
      </c>
      <c r="S46">
        <f t="shared" ca="1" si="35"/>
        <v>3.0776918944423479E-3</v>
      </c>
      <c r="T46">
        <f t="shared" ca="1" si="35"/>
        <v>8.0236523597553722E-3</v>
      </c>
      <c r="U46">
        <f t="shared" ca="1" si="35"/>
        <v>2.0320742817451797E-2</v>
      </c>
      <c r="V46">
        <f t="shared" ca="1" si="35"/>
        <v>4.9973881580196833E-2</v>
      </c>
      <c r="W46">
        <f t="shared" ca="1" si="35"/>
        <v>0.1180762646314584</v>
      </c>
      <c r="X46">
        <f t="shared" ca="1" si="35"/>
        <v>0.26014850020382341</v>
      </c>
      <c r="Y46">
        <f t="shared" ca="1" si="35"/>
        <v>0.5025955358682821</v>
      </c>
      <c r="Z46">
        <f t="shared" ca="1" si="35"/>
        <v>0.78047126313188775</v>
      </c>
      <c r="AA46">
        <f t="shared" ca="1" si="35"/>
        <v>0.92370940668527057</v>
      </c>
      <c r="AB46">
        <f t="shared" ca="1" si="35"/>
        <v>0.86504365948216033</v>
      </c>
      <c r="AC46">
        <f t="shared" ca="1" si="35"/>
        <v>0.70003465908182227</v>
      </c>
      <c r="AD46">
        <f t="shared" ca="1" si="35"/>
        <v>0.5259779194485783</v>
      </c>
      <c r="AE46">
        <f t="shared" ca="1" si="35"/>
        <v>0.38158265845840728</v>
      </c>
      <c r="AF46">
        <f t="shared" ca="1" si="35"/>
        <v>0.27211231168750011</v>
      </c>
      <c r="AG46">
        <f t="shared" ca="1" si="35"/>
        <v>0.19221478723855209</v>
      </c>
      <c r="AH46">
        <f t="shared" ca="1" si="35"/>
        <v>0.13494519519078385</v>
      </c>
      <c r="AI46">
        <f t="shared" ca="1" si="35"/>
        <v>0.28671580697931376</v>
      </c>
    </row>
    <row r="47" spans="1:35" ht="19" thickTop="1">
      <c r="A47" s="1" t="s">
        <v>41</v>
      </c>
      <c r="B47" s="11">
        <f ca="1">MAX(0,Ro*(reck-1/spr)/(reck-1))</f>
        <v>20157.70345337427</v>
      </c>
      <c r="F47" t="s">
        <v>84</v>
      </c>
      <c r="G47" s="31">
        <f ca="1">G39/G53</f>
        <v>0.99999999999999989</v>
      </c>
      <c r="H47" s="31">
        <f ca="1">H53/H39</f>
        <v>0.34346496445805874</v>
      </c>
      <c r="I47" s="31">
        <f ca="1">I53/I39</f>
        <v>0.49001294395331885</v>
      </c>
      <c r="J47" s="8" t="s">
        <v>76</v>
      </c>
      <c r="K47">
        <f t="shared" ref="K47:AI47" ca="1" si="36">lz*qa2_</f>
        <v>1.3269167370270831E-4</v>
      </c>
      <c r="L47">
        <f t="shared" ca="1" si="36"/>
        <v>8.4495820417233806E-3</v>
      </c>
      <c r="M47">
        <f t="shared" ca="1" si="36"/>
        <v>0.13807776864570026</v>
      </c>
      <c r="N47">
        <f t="shared" ca="1" si="36"/>
        <v>0.38117068375344604</v>
      </c>
      <c r="O47">
        <f t="shared" ca="1" si="36"/>
        <v>0.52856213270453156</v>
      </c>
      <c r="P47">
        <f t="shared" ca="1" si="36"/>
        <v>0.62195747055857065</v>
      </c>
      <c r="Q47">
        <f t="shared" ca="1" si="36"/>
        <v>0.67397754149456546</v>
      </c>
      <c r="R47">
        <f t="shared" ca="1" si="36"/>
        <v>0.68444144199004853</v>
      </c>
      <c r="S47">
        <f t="shared" ca="1" si="36"/>
        <v>0.66308922900260236</v>
      </c>
      <c r="T47">
        <f t="shared" ca="1" si="36"/>
        <v>0.62143572768679212</v>
      </c>
      <c r="U47">
        <f t="shared" ca="1" si="36"/>
        <v>0.56767929442020959</v>
      </c>
      <c r="V47">
        <f t="shared" ca="1" si="36"/>
        <v>0.50746027095815371</v>
      </c>
      <c r="W47">
        <f t="shared" ca="1" si="36"/>
        <v>0.44423916267116109</v>
      </c>
      <c r="X47">
        <f t="shared" ca="1" si="36"/>
        <v>0.37941992908735855</v>
      </c>
      <c r="Y47">
        <f t="shared" ca="1" si="36"/>
        <v>0.31297955683393541</v>
      </c>
      <c r="Z47">
        <f t="shared" ca="1" si="36"/>
        <v>0.26759675669808264</v>
      </c>
      <c r="AA47">
        <f t="shared" ca="1" si="36"/>
        <v>0.21559546928517492</v>
      </c>
      <c r="AB47">
        <f t="shared" ca="1" si="36"/>
        <v>0.16486619172728292</v>
      </c>
      <c r="AC47">
        <f t="shared" ca="1" si="36"/>
        <v>0.12169510049518452</v>
      </c>
      <c r="AD47">
        <f t="shared" ca="1" si="36"/>
        <v>8.7992213642173231E-2</v>
      </c>
      <c r="AE47">
        <f t="shared" ca="1" si="36"/>
        <v>6.2858868031309287E-2</v>
      </c>
      <c r="AF47">
        <f t="shared" ca="1" si="36"/>
        <v>4.4553317880697815E-2</v>
      </c>
      <c r="AG47">
        <f t="shared" ca="1" si="36"/>
        <v>3.1396537077565165E-2</v>
      </c>
      <c r="AH47">
        <f t="shared" ca="1" si="36"/>
        <v>2.2021586927742674E-2</v>
      </c>
      <c r="AI47">
        <f t="shared" ca="1" si="36"/>
        <v>4.6772143460988465E-2</v>
      </c>
    </row>
    <row r="48" spans="1:35">
      <c r="A48" s="1" t="s">
        <v>43</v>
      </c>
      <c r="B48" s="1">
        <f ca="1">f1_*re*phi_q1</f>
        <v>27568.626932921292</v>
      </c>
      <c r="C48" s="20">
        <f ca="1">ye_1/SUM(ye_1,ye_2,ye_3)</f>
        <v>0.60367371601208453</v>
      </c>
      <c r="F48" t="s">
        <v>85</v>
      </c>
      <c r="G48" s="31">
        <f ca="1">G40/G54</f>
        <v>2.9115051125458016</v>
      </c>
      <c r="H48" s="31">
        <f t="shared" ref="H48:I49" ca="1" si="37">H40/H54</f>
        <v>1</v>
      </c>
      <c r="I48" s="31">
        <f ca="1">I54/I40</f>
        <v>0.46695873400399673</v>
      </c>
      <c r="J48" s="8" t="s">
        <v>77</v>
      </c>
      <c r="K48">
        <f t="shared" ref="K48:AI48" ca="1" si="38">lz*qa3_</f>
        <v>1.0703960554176535E-6</v>
      </c>
      <c r="L48">
        <f t="shared" ca="1" si="38"/>
        <v>1.8888517029985929E-5</v>
      </c>
      <c r="M48">
        <f t="shared" ca="1" si="38"/>
        <v>1.6071319677524976E-4</v>
      </c>
      <c r="N48">
        <f t="shared" ca="1" si="38"/>
        <v>9.7823873388467263E-4</v>
      </c>
      <c r="O48">
        <f t="shared" ca="1" si="38"/>
        <v>4.9963107953437816E-3</v>
      </c>
      <c r="P48">
        <f t="shared" ca="1" si="38"/>
        <v>5.8459833987810822E-2</v>
      </c>
      <c r="Q48">
        <f t="shared" ca="1" si="38"/>
        <v>1.0810701784811745</v>
      </c>
      <c r="R48">
        <f t="shared" ca="1" si="38"/>
        <v>2.1578127766642168</v>
      </c>
      <c r="S48">
        <f t="shared" ca="1" si="38"/>
        <v>2.4165976194900636</v>
      </c>
      <c r="T48">
        <f t="shared" ca="1" si="38"/>
        <v>2.3175020359767986</v>
      </c>
      <c r="U48">
        <f t="shared" ca="1" si="38"/>
        <v>2.0966946454450737</v>
      </c>
      <c r="V48">
        <f t="shared" ca="1" si="38"/>
        <v>1.8407489736202662</v>
      </c>
      <c r="W48">
        <f t="shared" ca="1" si="38"/>
        <v>1.5792421702206925</v>
      </c>
      <c r="X48">
        <f t="shared" ca="1" si="38"/>
        <v>1.3211742136179305</v>
      </c>
      <c r="Y48">
        <f t="shared" ca="1" si="38"/>
        <v>1.0673478210663774</v>
      </c>
      <c r="Z48">
        <f t="shared" ca="1" si="38"/>
        <v>0.91257978021125286</v>
      </c>
      <c r="AA48">
        <f t="shared" ca="1" si="38"/>
        <v>0.7352408467221776</v>
      </c>
      <c r="AB48">
        <f t="shared" ca="1" si="38"/>
        <v>0.56223982258686367</v>
      </c>
      <c r="AC48">
        <f t="shared" ca="1" si="38"/>
        <v>0.4150143276511451</v>
      </c>
      <c r="AD48">
        <f t="shared" ca="1" si="38"/>
        <v>0.30007805765925188</v>
      </c>
      <c r="AE48">
        <f t="shared" ca="1" si="38"/>
        <v>0.21436631998145364</v>
      </c>
      <c r="AF48">
        <f t="shared" ca="1" si="38"/>
        <v>0.15193927438037821</v>
      </c>
      <c r="AG48">
        <f t="shared" ca="1" si="38"/>
        <v>0.10707097223142149</v>
      </c>
      <c r="AH48">
        <f t="shared" ca="1" si="38"/>
        <v>7.5099770290177073E-2</v>
      </c>
      <c r="AI48">
        <f t="shared" ca="1" si="38"/>
        <v>0.15950609015712286</v>
      </c>
    </row>
    <row r="49" spans="1:47">
      <c r="A49" s="1" t="s">
        <v>44</v>
      </c>
      <c r="B49" s="1">
        <f ca="1">f2_*re*phi_q2</f>
        <v>10281.529402256549</v>
      </c>
      <c r="C49" s="20">
        <f ca="1">ye_2/SUM(ye_1,ye_2,ye_3)</f>
        <v>0.22513595166163139</v>
      </c>
      <c r="F49" t="s">
        <v>86</v>
      </c>
      <c r="G49" s="31">
        <f ca="1">G41/G55</f>
        <v>2.0407624172786449</v>
      </c>
      <c r="H49" s="31">
        <f t="shared" ca="1" si="37"/>
        <v>2.1415168561585163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7817.9358836482188</v>
      </c>
      <c r="C50" s="20">
        <f ca="1">ye_3/SUM(ye_1,ye_2,ye_3)</f>
        <v>0.17119033232628403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45668.092218826059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1190.169084607892</v>
      </c>
      <c r="H52" s="59">
        <f ca="1">H40^0.5</f>
        <v>406.65851862263486</v>
      </c>
      <c r="I52" s="11">
        <f ca="1">I41^0.5</f>
        <v>570.00299731441055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1.3676472122277641</v>
      </c>
      <c r="C53">
        <f ca="1">AVERAGE(B53:B55)/B53</f>
        <v>0.55217466736063847</v>
      </c>
      <c r="G53">
        <f ca="1">G$52*$J53</f>
        <v>1416502.4499563877</v>
      </c>
      <c r="H53">
        <f t="shared" ref="H53:I53" ca="1" si="39">H$52*$J53</f>
        <v>483992.39685710275</v>
      </c>
      <c r="I53">
        <f t="shared" ca="1" si="39"/>
        <v>678399.94553744677</v>
      </c>
      <c r="J53">
        <f t="array" aca="1" ref="J53:J55" ca="1">TRANSPOSE(G52:I52)</f>
        <v>1190.169084607892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0.51005460150945359</v>
      </c>
      <c r="C54">
        <f ca="1">AVERAGE(B53:B55)/B54</f>
        <v>1.4805868670602971</v>
      </c>
      <c r="G54">
        <f t="shared" ref="G54:I55" ca="1" si="40">G$52*$J54</f>
        <v>483992.39685710275</v>
      </c>
      <c r="H54">
        <f t="shared" ca="1" si="40"/>
        <v>165371.15076835587</v>
      </c>
      <c r="I54">
        <f ca="1">I$52*$J54</f>
        <v>231796.57449833991</v>
      </c>
      <c r="J54">
        <f ca="1"/>
        <v>406.65851862263486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0.38783861969849281</v>
      </c>
      <c r="C55">
        <f ca="1">AVERAGE(B53:B55)/B55</f>
        <v>1.9471504541390181</v>
      </c>
      <c r="G55">
        <f t="shared" ca="1" si="40"/>
        <v>678399.94553744677</v>
      </c>
      <c r="H55">
        <f t="shared" ca="1" si="40"/>
        <v>231796.57449833991</v>
      </c>
      <c r="I55">
        <f t="shared" ca="1" si="40"/>
        <v>324903.4169474119</v>
      </c>
      <c r="J55">
        <f ca="1"/>
        <v>570.00299731441055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4.1658740204005666E-2</v>
      </c>
      <c r="C56">
        <f ca="1">AVERAGE(B56:B58)/B56</f>
        <v>1.2006397957475958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8.0973846848291675E-2</v>
      </c>
      <c r="C57">
        <f ca="1">AVERAGE(B56:B58)/B57</f>
        <v>0.61769501235811353</v>
      </c>
      <c r="G57">
        <f t="array" aca="1" ref="G57:I59" ca="1">MMULT($G$52:$I$52,TRANSPOSE($G$52:$I$52))</f>
        <v>1906777.0176721555</v>
      </c>
      <c r="H57">
        <f ca="1"/>
        <v>1906777.0176721555</v>
      </c>
      <c r="I57">
        <f ca="1"/>
        <v>1906777.0176721555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2.7418836936621189E-2</v>
      </c>
      <c r="C58">
        <f ca="1">AVERAGE(B56:B58)/B58</f>
        <v>1.8241890217755936</v>
      </c>
      <c r="G58">
        <f ca="1"/>
        <v>1906777.0176721555</v>
      </c>
      <c r="H58">
        <f ca="1"/>
        <v>1906777.0176721555</v>
      </c>
      <c r="I58">
        <f ca="1"/>
        <v>1906777.0176721555</v>
      </c>
      <c r="AL58" s="31"/>
      <c r="AM58" s="31"/>
      <c r="AN58" s="31"/>
      <c r="AO58" s="31"/>
      <c r="AP58" s="31"/>
    </row>
    <row r="59" spans="1:47">
      <c r="G59">
        <f ca="1"/>
        <v>1906777.0176721555</v>
      </c>
      <c r="H59">
        <f ca="1"/>
        <v>1906777.0176721555</v>
      </c>
      <c r="I59">
        <f ca="1"/>
        <v>1906777.0176721555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32.829778469783371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6.2990042015055181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14.144969773699161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25" sqref="C2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98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E3" t="s">
        <v>109</v>
      </c>
      <c r="F3" t="s">
        <v>110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106</v>
      </c>
      <c r="B4" s="25">
        <f>E4/SUM(E$4:E$6)</f>
        <v>0.60367371601208464</v>
      </c>
      <c r="C4" s="22">
        <f ca="1">ypr1/SUM(ypr1,ypr2,ypr3)</f>
        <v>0.60369590821877639</v>
      </c>
      <c r="E4" s="49">
        <v>24977</v>
      </c>
      <c r="F4" s="49">
        <f ca="1">ye_1</f>
        <v>27570.119180606842</v>
      </c>
      <c r="J4" t="s">
        <v>78</v>
      </c>
      <c r="K4" s="1">
        <f t="shared" ref="K4:AI4" si="0">linf*(1-EXP(-vonbk*(age+to)))</f>
        <v>17.235024005677143</v>
      </c>
      <c r="L4" s="1">
        <f t="shared" si="0"/>
        <v>30.843699809911001</v>
      </c>
      <c r="M4" s="1">
        <f t="shared" si="0"/>
        <v>43.433099625211497</v>
      </c>
      <c r="N4" s="1">
        <f t="shared" si="0"/>
        <v>55.079566187386391</v>
      </c>
      <c r="O4" s="1">
        <f t="shared" si="0"/>
        <v>65.853724238909024</v>
      </c>
      <c r="P4" s="1">
        <f t="shared" si="0"/>
        <v>75.820908800808709</v>
      </c>
      <c r="Q4" s="1">
        <f t="shared" si="0"/>
        <v>85.041561367431456</v>
      </c>
      <c r="R4" s="1">
        <f t="shared" si="0"/>
        <v>93.57159642661594</v>
      </c>
      <c r="S4" s="1">
        <f t="shared" si="0"/>
        <v>101.46274052788061</v>
      </c>
      <c r="T4" s="1">
        <f t="shared" si="0"/>
        <v>108.76284595474834</v>
      </c>
      <c r="U4" s="1">
        <f t="shared" si="0"/>
        <v>115.5161809033324</v>
      </c>
      <c r="V4" s="1">
        <f t="shared" si="0"/>
        <v>121.76369792684143</v>
      </c>
      <c r="W4" s="1">
        <f t="shared" si="0"/>
        <v>127.54328227386371</v>
      </c>
      <c r="X4" s="1">
        <f t="shared" si="0"/>
        <v>132.88998162636642</v>
      </c>
      <c r="Y4" s="1">
        <f t="shared" si="0"/>
        <v>137.83621863055185</v>
      </c>
      <c r="Z4" s="1">
        <f t="shared" si="0"/>
        <v>142.41198750936894</v>
      </c>
      <c r="AA4" s="1">
        <f t="shared" si="0"/>
        <v>146.64503594894714</v>
      </c>
      <c r="AB4" s="1">
        <f t="shared" si="0"/>
        <v>150.56103336192129</v>
      </c>
      <c r="AC4" s="1">
        <f t="shared" si="0"/>
        <v>154.18372654800453</v>
      </c>
      <c r="AD4" s="1">
        <f t="shared" si="0"/>
        <v>157.5350836957424</v>
      </c>
      <c r="AE4" s="1">
        <f t="shared" si="0"/>
        <v>160.63542759868196</v>
      </c>
      <c r="AF4" s="1">
        <f t="shared" si="0"/>
        <v>163.50355889378503</v>
      </c>
      <c r="AG4" s="1">
        <f t="shared" si="0"/>
        <v>166.15687006940976</v>
      </c>
      <c r="AH4" s="1">
        <f t="shared" si="0"/>
        <v>168.61145093421021</v>
      </c>
      <c r="AI4" s="1">
        <f t="shared" si="0"/>
        <v>170.8821861865222</v>
      </c>
    </row>
    <row r="5" spans="1:35">
      <c r="A5" t="s">
        <v>107</v>
      </c>
      <c r="B5" s="25">
        <f t="shared" ref="B5:B6" si="1">E5/SUM(E$4:E$6)</f>
        <v>0.22513595166163142</v>
      </c>
      <c r="C5" s="22">
        <f ca="1">ypr2/SUM(ypr1,ypr2,ypr3)</f>
        <v>0.22510660828435136</v>
      </c>
      <c r="E5" s="49">
        <v>9315</v>
      </c>
      <c r="F5" s="49">
        <f ca="1">ye_2</f>
        <v>10280.367871058428</v>
      </c>
      <c r="J5" t="s">
        <v>3</v>
      </c>
      <c r="K5" s="9">
        <f t="shared" ref="K5:AI5" si="2">0.00001*len^3</f>
        <v>5.1195958452201019E-2</v>
      </c>
      <c r="L5" s="9">
        <f t="shared" si="2"/>
        <v>0.29342654700295173</v>
      </c>
      <c r="M5" s="9">
        <f t="shared" si="2"/>
        <v>0.81933682071645197</v>
      </c>
      <c r="N5" s="9">
        <f t="shared" si="2"/>
        <v>1.670981082326463</v>
      </c>
      <c r="O5" s="9">
        <f t="shared" si="2"/>
        <v>2.855887017507194</v>
      </c>
      <c r="P5" s="9">
        <f t="shared" si="2"/>
        <v>4.3588001475024267</v>
      </c>
      <c r="Q5" s="9">
        <f t="shared" si="2"/>
        <v>6.1502628318441976</v>
      </c>
      <c r="R5" s="9">
        <f t="shared" si="2"/>
        <v>8.1927955480530574</v>
      </c>
      <c r="S5" s="9">
        <f t="shared" si="2"/>
        <v>10.445272284860339</v>
      </c>
      <c r="T5" s="9">
        <f t="shared" si="2"/>
        <v>12.865944961745333</v>
      </c>
      <c r="U5" s="9">
        <f t="shared" si="2"/>
        <v>15.414465376124722</v>
      </c>
      <c r="V5" s="9">
        <f t="shared" si="2"/>
        <v>18.053170635876693</v>
      </c>
      <c r="W5" s="9">
        <f t="shared" si="2"/>
        <v>20.747834140329498</v>
      </c>
      <c r="X5" s="9">
        <f t="shared" si="2"/>
        <v>23.46803483147692</v>
      </c>
      <c r="Y5" s="9">
        <f t="shared" si="2"/>
        <v>26.187259436828711</v>
      </c>
      <c r="Z5" s="9">
        <f t="shared" si="2"/>
        <v>28.882823249044691</v>
      </c>
      <c r="AA5" s="9">
        <f t="shared" si="2"/>
        <v>31.535672665067064</v>
      </c>
      <c r="AB5" s="9">
        <f t="shared" si="2"/>
        <v>34.130115698146042</v>
      </c>
      <c r="AC5" s="9">
        <f t="shared" si="2"/>
        <v>36.653513776545303</v>
      </c>
      <c r="AD5" s="9">
        <f t="shared" si="2"/>
        <v>39.095958414097602</v>
      </c>
      <c r="AE5" s="9">
        <f t="shared" si="2"/>
        <v>41.449949048961734</v>
      </c>
      <c r="AF5" s="9">
        <f t="shared" si="2"/>
        <v>43.710082929277377</v>
      </c>
      <c r="AG5" s="9">
        <f t="shared" si="2"/>
        <v>45.87276393651161</v>
      </c>
      <c r="AH5" s="9">
        <f t="shared" si="2"/>
        <v>47.935934337174338</v>
      </c>
      <c r="AI5" s="9">
        <f t="shared" si="2"/>
        <v>49.898831376935739</v>
      </c>
    </row>
    <row r="6" spans="1:35">
      <c r="A6" t="s">
        <v>108</v>
      </c>
      <c r="B6" s="25">
        <f t="shared" si="1"/>
        <v>0.171190332326284</v>
      </c>
      <c r="C6" s="22">
        <f ca="1">ypr3/SUM(ypr1,ypr2,ypr3)</f>
        <v>0.17119748349687239</v>
      </c>
      <c r="E6" s="49">
        <v>7083</v>
      </c>
      <c r="F6" s="49">
        <f ca="1">ye_3</f>
        <v>7818.3982352225312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 ca="1">spr</f>
        <v>0.40000000000040775</v>
      </c>
      <c r="J7" t="s">
        <v>7</v>
      </c>
      <c r="K7" s="1">
        <f>1</f>
        <v>1</v>
      </c>
      <c r="L7" s="1">
        <f ca="1">K7*EXP(-K8)</f>
        <v>0.86054633226528199</v>
      </c>
      <c r="M7" s="1">
        <f t="shared" ref="M7:AH7" ca="1" si="4">L7*EXP(-L8)</f>
        <v>0.73888649610944435</v>
      </c>
      <c r="N7" s="1">
        <f t="shared" ca="1" si="4"/>
        <v>0.62548005783784955</v>
      </c>
      <c r="O7" s="1">
        <f t="shared" ca="1" si="4"/>
        <v>0.52415849669753989</v>
      </c>
      <c r="P7" s="1">
        <f t="shared" ca="1" si="4"/>
        <v>0.43960469651275358</v>
      </c>
      <c r="Q7" s="1">
        <f t="shared" ca="1" si="4"/>
        <v>0.36924942752535878</v>
      </c>
      <c r="R7" s="1">
        <f t="shared" ca="1" si="4"/>
        <v>0.30776338633124162</v>
      </c>
      <c r="S7" s="1">
        <f t="shared" ca="1" si="4"/>
        <v>0.25483615445649627</v>
      </c>
      <c r="T7" s="1">
        <f t="shared" ca="1" si="4"/>
        <v>0.21108341594308933</v>
      </c>
      <c r="U7" s="1">
        <f t="shared" ca="1" si="4"/>
        <v>0.175240104716613</v>
      </c>
      <c r="V7" s="1">
        <f t="shared" ca="1" si="4"/>
        <v>0.14576633536161504</v>
      </c>
      <c r="W7" s="1">
        <f t="shared" ca="1" si="4"/>
        <v>0.1212605108953273</v>
      </c>
      <c r="X7" s="1">
        <f t="shared" ca="1" si="4"/>
        <v>0.10044472004952894</v>
      </c>
      <c r="Y7" s="1">
        <f t="shared" ca="1" si="4"/>
        <v>8.2084804428836269E-2</v>
      </c>
      <c r="Z7" s="1">
        <f t="shared" ca="1" si="4"/>
        <v>6.5127265338859236E-2</v>
      </c>
      <c r="AA7" s="1">
        <f t="shared" ca="1" si="4"/>
        <v>4.9225623982266785E-2</v>
      </c>
      <c r="AB7" s="1">
        <f t="shared" ca="1" si="4"/>
        <v>3.5369575695260419E-2</v>
      </c>
      <c r="AC7" s="1">
        <f t="shared" ca="1" si="4"/>
        <v>2.4524237204293562E-2</v>
      </c>
      <c r="AD7" s="1">
        <f t="shared" ca="1" si="4"/>
        <v>1.6689218720453612E-2</v>
      </c>
      <c r="AE7" s="1">
        <f t="shared" ca="1" si="4"/>
        <v>1.126306054613924E-2</v>
      </c>
      <c r="AF7" s="1">
        <f t="shared" ca="1" si="4"/>
        <v>7.5750083182519494E-3</v>
      </c>
      <c r="AG7" s="1">
        <f t="shared" ca="1" si="4"/>
        <v>5.0876052316541605E-3</v>
      </c>
      <c r="AH7" s="1">
        <f t="shared" ca="1" si="4"/>
        <v>3.4151437819026622E-3</v>
      </c>
      <c r="AI7" s="1">
        <f ca="1">AH7*EXP(-AH8)/(1-EXP(-AI8))</f>
        <v>6.9680529989296237E-3</v>
      </c>
    </row>
    <row r="8" spans="1:35">
      <c r="A8" s="5"/>
      <c r="B8" s="26"/>
      <c r="C8" s="26"/>
      <c r="E8" t="s">
        <v>111</v>
      </c>
      <c r="F8">
        <f ca="1">SUMXMY2(E4:E6,F4:F6)</f>
        <v>8197012.7756713945</v>
      </c>
      <c r="J8" t="s">
        <v>11</v>
      </c>
      <c r="K8" s="1">
        <f ca="1">M+f1_*flt1_ +f2_*flt2_ +f3_*flt3_</f>
        <v>0.15018782135729153</v>
      </c>
      <c r="L8" s="1">
        <f t="shared" ref="L8:AI8" ca="1" si="5">M+f1_*flt1_ +f2_*flt2_ +f3_*flt3_</f>
        <v>0.15242313966452897</v>
      </c>
      <c r="M8" s="1">
        <f t="shared" ca="1" si="5"/>
        <v>0.16662487051546854</v>
      </c>
      <c r="N8" s="1">
        <f t="shared" ca="1" si="5"/>
        <v>0.17672533424640352</v>
      </c>
      <c r="O8" s="1">
        <f t="shared" ca="1" si="5"/>
        <v>0.17591820712105749</v>
      </c>
      <c r="P8" s="1">
        <f t="shared" ca="1" si="5"/>
        <v>0.17440353503850434</v>
      </c>
      <c r="Q8" s="1">
        <f t="shared" ca="1" si="5"/>
        <v>0.18214110949953621</v>
      </c>
      <c r="R8" s="1">
        <f t="shared" ca="1" si="5"/>
        <v>0.1887104544359291</v>
      </c>
      <c r="S8" s="1">
        <f t="shared" ca="1" si="5"/>
        <v>0.18836741552895364</v>
      </c>
      <c r="T8" s="1">
        <f t="shared" ca="1" si="5"/>
        <v>0.18609633106781123</v>
      </c>
      <c r="U8" s="1">
        <f t="shared" ca="1" si="5"/>
        <v>0.18415216360355338</v>
      </c>
      <c r="V8" s="1">
        <f t="shared" ca="1" si="5"/>
        <v>0.18406368304616255</v>
      </c>
      <c r="W8" s="1">
        <f t="shared" ca="1" si="5"/>
        <v>0.18833368694881408</v>
      </c>
      <c r="X8" s="1">
        <f t="shared" ca="1" si="5"/>
        <v>0.20185461370896027</v>
      </c>
      <c r="Y8" s="1">
        <f t="shared" ca="1" si="5"/>
        <v>0.23140962925675077</v>
      </c>
      <c r="Z8" s="1">
        <f t="shared" ca="1" si="5"/>
        <v>0.27992898337228611</v>
      </c>
      <c r="AA8" s="1">
        <f t="shared" ca="1" si="5"/>
        <v>0.3305622936005343</v>
      </c>
      <c r="AB8" s="1">
        <f t="shared" ca="1" si="5"/>
        <v>0.36619010478296438</v>
      </c>
      <c r="AC8" s="1">
        <f t="shared" ca="1" si="5"/>
        <v>0.38489897684561475</v>
      </c>
      <c r="AD8" s="1">
        <f t="shared" ca="1" si="5"/>
        <v>0.39323453262274005</v>
      </c>
      <c r="AE8" s="1">
        <f t="shared" ca="1" si="5"/>
        <v>0.39667394320437299</v>
      </c>
      <c r="AF8" s="1">
        <f t="shared" ca="1" si="5"/>
        <v>0.39804721460447801</v>
      </c>
      <c r="AG8" s="1">
        <f t="shared" ca="1" si="5"/>
        <v>0.39858763972680872</v>
      </c>
      <c r="AH8" s="1">
        <f t="shared" ca="1" si="5"/>
        <v>0.39879842914243019</v>
      </c>
      <c r="AI8" s="1">
        <f t="shared" ca="1" si="5"/>
        <v>0.39887968713336369</v>
      </c>
    </row>
    <row r="9" spans="1:35">
      <c r="A9" s="12" t="s">
        <v>99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ca="1" si="6">EXP(-za)</f>
        <v>0.86054633226528199</v>
      </c>
      <c r="L10" s="1">
        <f t="shared" ca="1" si="6"/>
        <v>0.85862488561704386</v>
      </c>
      <c r="M10" s="1">
        <f t="shared" ca="1" si="6"/>
        <v>0.8465171053081515</v>
      </c>
      <c r="N10" s="1">
        <f t="shared" ca="1" si="6"/>
        <v>0.83800992554333931</v>
      </c>
      <c r="O10" s="1">
        <f t="shared" ca="1" si="6"/>
        <v>0.8386865791215492</v>
      </c>
      <c r="P10" s="1">
        <f t="shared" ca="1" si="6"/>
        <v>0.83995787682547274</v>
      </c>
      <c r="Q10" s="1">
        <f t="shared" ca="1" si="6"/>
        <v>0.83348371964667567</v>
      </c>
      <c r="R10" s="1">
        <f t="shared" ca="1" si="6"/>
        <v>0.82802622330851117</v>
      </c>
      <c r="S10" s="1">
        <f t="shared" ca="1" si="6"/>
        <v>0.82831031724395254</v>
      </c>
      <c r="T10" s="1">
        <f t="shared" ca="1" si="6"/>
        <v>0.83019361769216338</v>
      </c>
      <c r="U10" s="1">
        <f t="shared" ca="1" si="6"/>
        <v>0.83180922310756977</v>
      </c>
      <c r="V10" s="1">
        <f t="shared" ca="1" si="6"/>
        <v>0.83188282530740698</v>
      </c>
      <c r="W10" s="1">
        <f t="shared" ca="1" si="6"/>
        <v>0.82833825544602346</v>
      </c>
      <c r="X10" s="1">
        <f t="shared" ca="1" si="6"/>
        <v>0.8172137309791947</v>
      </c>
      <c r="Y10" s="1">
        <f t="shared" ca="1" si="6"/>
        <v>0.79341439371182965</v>
      </c>
      <c r="Z10" s="1">
        <f t="shared" ca="1" si="6"/>
        <v>0.75583741657421499</v>
      </c>
      <c r="AA10" s="1">
        <f t="shared" ca="1" si="6"/>
        <v>0.71851960084857591</v>
      </c>
      <c r="AB10" s="1">
        <f t="shared" ca="1" si="6"/>
        <v>0.6933709755409887</v>
      </c>
      <c r="AC10" s="1">
        <f t="shared" ca="1" si="6"/>
        <v>0.68051938094660736</v>
      </c>
      <c r="AD10" s="1">
        <f t="shared" ca="1" si="6"/>
        <v>0.67487044988724976</v>
      </c>
      <c r="AE10" s="1">
        <f t="shared" ca="1" si="6"/>
        <v>0.67255328045346574</v>
      </c>
      <c r="AF10" s="1">
        <f t="shared" ca="1" si="6"/>
        <v>0.67163031615365987</v>
      </c>
      <c r="AG10" s="1">
        <f t="shared" ca="1" si="6"/>
        <v>0.67126744831817031</v>
      </c>
      <c r="AH10" s="1">
        <f t="shared" ca="1" si="6"/>
        <v>0.67112596715690309</v>
      </c>
      <c r="AI10" s="1">
        <f t="shared" ca="1" si="6"/>
        <v>0.67107143502476441</v>
      </c>
    </row>
    <row r="11" spans="1:35">
      <c r="A11" s="5">
        <v>1</v>
      </c>
      <c r="B11" s="25">
        <v>0.2776560452429222</v>
      </c>
      <c r="C11" s="18">
        <f ca="1">mpr1_/SUM(mpr1_,mpr2_,mpr3_)</f>
        <v>0.2776560452429222</v>
      </c>
      <c r="J11" t="s">
        <v>56</v>
      </c>
      <c r="K11" s="1">
        <f ca="1">1-sa</f>
        <v>0.13945366773471801</v>
      </c>
      <c r="L11" s="1">
        <f t="shared" ref="L11:AI11" ca="1" si="7">1-sa</f>
        <v>0.14137511438295614</v>
      </c>
      <c r="M11" s="1">
        <f t="shared" ca="1" si="7"/>
        <v>0.1534828946918485</v>
      </c>
      <c r="N11" s="1">
        <f t="shared" ca="1" si="7"/>
        <v>0.16199007445666069</v>
      </c>
      <c r="O11" s="1">
        <f t="shared" ca="1" si="7"/>
        <v>0.1613134208784508</v>
      </c>
      <c r="P11" s="1">
        <f t="shared" ca="1" si="7"/>
        <v>0.16004212317452726</v>
      </c>
      <c r="Q11" s="1">
        <f t="shared" ca="1" si="7"/>
        <v>0.16651628035332433</v>
      </c>
      <c r="R11" s="1">
        <f t="shared" ca="1" si="7"/>
        <v>0.17197377669148883</v>
      </c>
      <c r="S11" s="1">
        <f t="shared" ca="1" si="7"/>
        <v>0.17168968275604746</v>
      </c>
      <c r="T11" s="1">
        <f t="shared" ca="1" si="7"/>
        <v>0.16980638230783662</v>
      </c>
      <c r="U11" s="1">
        <f t="shared" ca="1" si="7"/>
        <v>0.16819077689243023</v>
      </c>
      <c r="V11" s="1">
        <f t="shared" ca="1" si="7"/>
        <v>0.16811717469259302</v>
      </c>
      <c r="W11" s="1">
        <f t="shared" ca="1" si="7"/>
        <v>0.17166174455397654</v>
      </c>
      <c r="X11" s="1">
        <f t="shared" ca="1" si="7"/>
        <v>0.1827862690208053</v>
      </c>
      <c r="Y11" s="1">
        <f t="shared" ca="1" si="7"/>
        <v>0.20658560628817035</v>
      </c>
      <c r="Z11" s="1">
        <f t="shared" ca="1" si="7"/>
        <v>0.24416258342578501</v>
      </c>
      <c r="AA11" s="1">
        <f t="shared" ca="1" si="7"/>
        <v>0.28148039915142409</v>
      </c>
      <c r="AB11" s="1">
        <f t="shared" ca="1" si="7"/>
        <v>0.3066290244590113</v>
      </c>
      <c r="AC11" s="1">
        <f t="shared" ca="1" si="7"/>
        <v>0.31948061905339264</v>
      </c>
      <c r="AD11" s="1">
        <f t="shared" ca="1" si="7"/>
        <v>0.32512955011275024</v>
      </c>
      <c r="AE11" s="1">
        <f t="shared" ca="1" si="7"/>
        <v>0.32744671954653426</v>
      </c>
      <c r="AF11" s="1">
        <f t="shared" ca="1" si="7"/>
        <v>0.32836968384634013</v>
      </c>
      <c r="AG11" s="1">
        <f t="shared" ca="1" si="7"/>
        <v>0.32873255168182969</v>
      </c>
      <c r="AH11" s="1">
        <f t="shared" ca="1" si="7"/>
        <v>0.32887403284309691</v>
      </c>
      <c r="AI11" s="1">
        <f t="shared" ca="1" si="7"/>
        <v>0.32892856497523559</v>
      </c>
    </row>
    <row r="12" spans="1:35">
      <c r="A12" s="5">
        <v>2</v>
      </c>
      <c r="B12" s="25">
        <v>0.53959687512124965</v>
      </c>
      <c r="C12" s="18">
        <f ca="1">mpr2_/SUM(mpr1_,mpr2_,mpr3_)</f>
        <v>0.53959687512124965</v>
      </c>
      <c r="J12" t="s">
        <v>100</v>
      </c>
      <c r="K12">
        <f>1/(1+EXP(($E18-len)/2.5))</f>
        <v>5.6126934388498569E-12</v>
      </c>
      <c r="L12">
        <f t="shared" ref="L12:AI12" si="8">1/(1+EXP(($E18-len)/2.5))</f>
        <v>1.2978976454834829E-9</v>
      </c>
      <c r="M12">
        <f t="shared" si="8"/>
        <v>1.99637952261423E-7</v>
      </c>
      <c r="N12">
        <f t="shared" si="8"/>
        <v>2.1058746277498515E-5</v>
      </c>
      <c r="O12">
        <f t="shared" si="8"/>
        <v>1.564676467664138E-3</v>
      </c>
      <c r="P12">
        <f t="shared" si="8"/>
        <v>7.7870643543285392E-2</v>
      </c>
      <c r="Q12">
        <f t="shared" si="8"/>
        <v>0.77146898694811417</v>
      </c>
      <c r="R12">
        <f>1/(1+EXP(($E18-len)/2.5))</f>
        <v>0.99032644321048724</v>
      </c>
      <c r="S12">
        <f t="shared" si="8"/>
        <v>0.99958428557508638</v>
      </c>
      <c r="T12">
        <f t="shared" si="8"/>
        <v>0.99997757111253649</v>
      </c>
      <c r="U12">
        <f t="shared" si="8"/>
        <v>0.99999849463304669</v>
      </c>
      <c r="V12">
        <f t="shared" si="8"/>
        <v>0.99999987630899723</v>
      </c>
      <c r="W12">
        <f t="shared" si="8"/>
        <v>0.99999998774476839</v>
      </c>
      <c r="X12">
        <f t="shared" si="8"/>
        <v>0.9999999985562078</v>
      </c>
      <c r="Y12">
        <f t="shared" si="8"/>
        <v>0.99999999980035637</v>
      </c>
      <c r="Z12">
        <f t="shared" si="8"/>
        <v>0.99999999996798428</v>
      </c>
      <c r="AA12">
        <f t="shared" si="8"/>
        <v>0.99999999999411138</v>
      </c>
      <c r="AB12">
        <f t="shared" si="8"/>
        <v>0.99999999999877054</v>
      </c>
      <c r="AC12">
        <f t="shared" si="8"/>
        <v>0.99999999999971134</v>
      </c>
      <c r="AD12">
        <f t="shared" si="8"/>
        <v>0.9999999999999245</v>
      </c>
      <c r="AE12">
        <f t="shared" si="8"/>
        <v>0.99999999999997824</v>
      </c>
      <c r="AF12">
        <f t="shared" si="8"/>
        <v>0.99999999999999312</v>
      </c>
      <c r="AG12">
        <f t="shared" si="8"/>
        <v>0.99999999999999756</v>
      </c>
      <c r="AH12">
        <f t="shared" si="8"/>
        <v>0.99999999999999911</v>
      </c>
      <c r="AI12">
        <f t="shared" si="8"/>
        <v>0.99999999999999956</v>
      </c>
    </row>
    <row r="13" spans="1:35">
      <c r="A13" s="5">
        <v>3</v>
      </c>
      <c r="B13" s="25">
        <f>1-SUM(B11:B12)</f>
        <v>0.18274707963582815</v>
      </c>
      <c r="C13" s="18">
        <f ca="1">mpr3_/SUM(mpr1_,mpr2_,mpr3_)</f>
        <v>0.18274707963582815</v>
      </c>
      <c r="J13" t="s">
        <v>101</v>
      </c>
      <c r="K13">
        <f>1/(1+EXP(($E19-len)/2.5))</f>
        <v>1.780212213170972E-32</v>
      </c>
      <c r="L13">
        <f t="shared" ref="L13:Q14" si="9">1/(1+EXP(($E19-len)/2.5))</f>
        <v>4.1166211340324113E-30</v>
      </c>
      <c r="M13">
        <f t="shared" si="9"/>
        <v>6.3320399670713315E-28</v>
      </c>
      <c r="N13">
        <f t="shared" si="9"/>
        <v>6.6794716679723202E-26</v>
      </c>
      <c r="O13">
        <f t="shared" si="9"/>
        <v>4.9705571051631045E-24</v>
      </c>
      <c r="P13">
        <f t="shared" si="9"/>
        <v>2.6784427606745092E-22</v>
      </c>
      <c r="Q13">
        <f t="shared" si="9"/>
        <v>1.0707147400765349E-20</v>
      </c>
      <c r="R13">
        <f>1/(1+EXP(($E19-len)/2.5))</f>
        <v>3.2470774237305647E-19</v>
      </c>
      <c r="S13">
        <f t="shared" ref="S13:AI13" si="10">1/(1+EXP(($E19-len)/2.5))</f>
        <v>7.6264913102733784E-18</v>
      </c>
      <c r="T13">
        <f t="shared" si="10"/>
        <v>1.4141093097190688E-16</v>
      </c>
      <c r="U13">
        <f t="shared" si="10"/>
        <v>2.1069654906178927E-15</v>
      </c>
      <c r="V13">
        <f t="shared" si="10"/>
        <v>2.5642613710579942E-14</v>
      </c>
      <c r="W13">
        <f t="shared" si="10"/>
        <v>2.5880873253271309E-13</v>
      </c>
      <c r="X13">
        <f t="shared" si="10"/>
        <v>2.1968263846960051E-12</v>
      </c>
      <c r="Y13">
        <f t="shared" si="10"/>
        <v>1.5887117618179969E-11</v>
      </c>
      <c r="Z13">
        <f t="shared" si="10"/>
        <v>9.9068954677535708E-11</v>
      </c>
      <c r="AA13">
        <f t="shared" si="10"/>
        <v>5.3863356368460146E-10</v>
      </c>
      <c r="AB13">
        <f t="shared" si="10"/>
        <v>2.5797156485912094E-9</v>
      </c>
      <c r="AC13">
        <f t="shared" si="10"/>
        <v>1.0987480026385197E-8</v>
      </c>
      <c r="AD13">
        <f t="shared" si="10"/>
        <v>4.198444838888185E-8</v>
      </c>
      <c r="AE13">
        <f t="shared" si="10"/>
        <v>1.4510196922743085E-7</v>
      </c>
      <c r="AF13">
        <f t="shared" si="10"/>
        <v>4.5700253478658503E-7</v>
      </c>
      <c r="AG13">
        <f t="shared" si="10"/>
        <v>1.3208259556624439E-6</v>
      </c>
      <c r="AH13">
        <f t="shared" si="10"/>
        <v>3.5257296435145709E-6</v>
      </c>
      <c r="AI13">
        <f t="shared" si="10"/>
        <v>8.7440746529709757E-6</v>
      </c>
    </row>
    <row r="14" spans="1:35">
      <c r="A14" s="27" t="s">
        <v>49</v>
      </c>
      <c r="B14" s="30">
        <v>0.4</v>
      </c>
      <c r="C14" s="29">
        <f ca="1">spr</f>
        <v>0.40000000000040775</v>
      </c>
      <c r="J14" t="s">
        <v>102</v>
      </c>
      <c r="K14">
        <f>1/(1+EXP(($E20-len)/2.5))</f>
        <v>5.6126934388498569E-12</v>
      </c>
      <c r="L14">
        <f t="shared" si="9"/>
        <v>1.2978976454834829E-9</v>
      </c>
      <c r="M14">
        <f t="shared" si="9"/>
        <v>1.99637952261423E-7</v>
      </c>
      <c r="N14">
        <f t="shared" si="9"/>
        <v>2.1058746277498515E-5</v>
      </c>
      <c r="O14">
        <f t="shared" si="9"/>
        <v>1.564676467664138E-3</v>
      </c>
      <c r="P14">
        <f t="shared" si="9"/>
        <v>7.7870643543285392E-2</v>
      </c>
      <c r="Q14">
        <f t="shared" si="9"/>
        <v>0.77146898694811417</v>
      </c>
      <c r="R14">
        <f>1/(1+EXP(($E20-len)/2.5))</f>
        <v>0.99032644321048724</v>
      </c>
      <c r="S14">
        <f t="shared" ref="S14:AI14" si="11">1/(1+EXP(($E20-len)/2.5))</f>
        <v>0.99958428557508638</v>
      </c>
      <c r="T14">
        <f t="shared" si="11"/>
        <v>0.99997757111253649</v>
      </c>
      <c r="U14">
        <f t="shared" si="11"/>
        <v>0.99999849463304669</v>
      </c>
      <c r="V14">
        <f t="shared" si="11"/>
        <v>0.99999987630899723</v>
      </c>
      <c r="W14">
        <f t="shared" si="11"/>
        <v>0.99999998774476839</v>
      </c>
      <c r="X14">
        <f t="shared" si="11"/>
        <v>0.9999999985562078</v>
      </c>
      <c r="Y14">
        <f t="shared" si="11"/>
        <v>0.99999999980035637</v>
      </c>
      <c r="Z14">
        <f t="shared" si="11"/>
        <v>0.99999999996798428</v>
      </c>
      <c r="AA14">
        <f t="shared" si="11"/>
        <v>0.99999999999411138</v>
      </c>
      <c r="AB14">
        <f t="shared" si="11"/>
        <v>0.99999999999877054</v>
      </c>
      <c r="AC14">
        <f t="shared" si="11"/>
        <v>0.99999999999971134</v>
      </c>
      <c r="AD14">
        <f t="shared" si="11"/>
        <v>0.9999999999999245</v>
      </c>
      <c r="AE14">
        <f t="shared" si="11"/>
        <v>0.99999999999997824</v>
      </c>
      <c r="AF14">
        <f t="shared" si="11"/>
        <v>0.99999999999999312</v>
      </c>
      <c r="AG14">
        <f t="shared" si="11"/>
        <v>0.99999999999999756</v>
      </c>
      <c r="AH14">
        <f t="shared" si="11"/>
        <v>0.99999999999999911</v>
      </c>
      <c r="AI14">
        <f t="shared" si="11"/>
        <v>0.99999999999999956</v>
      </c>
    </row>
    <row r="15" spans="1:35">
      <c r="A15" s="5"/>
      <c r="B15" s="26" t="s">
        <v>50</v>
      </c>
      <c r="C15" s="26">
        <f ca="1">CHOOSE(C25,SUMXMY2(B14,C14),SUMXMY2(B7,C7))</f>
        <v>1.6624326834879295E-25</v>
      </c>
    </row>
    <row r="17" spans="1:39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9">
        <v>1000000</v>
      </c>
      <c r="E18">
        <v>82</v>
      </c>
      <c r="F18" s="31">
        <v>0.16</v>
      </c>
      <c r="G18" s="3">
        <f>Selectivities!A9</f>
        <v>16.103913169968092</v>
      </c>
      <c r="H18" s="3">
        <f>Selectivities!B9</f>
        <v>1.0653032892962018</v>
      </c>
      <c r="I18" s="7">
        <f>Selectivities!C9</f>
        <v>1.0001965690954851E-5</v>
      </c>
      <c r="J18" s="8" t="s">
        <v>103</v>
      </c>
      <c r="K18" s="4">
        <f>((EXP(g*(ah-age)/gh)/(1+EXP((ah-age)/gh))) *(1/(1-g))*((1-g)/g)^g) *(sr+(1-sr)*dmr)</f>
        <v>1.1137580874680412E-7</v>
      </c>
      <c r="L18" s="4">
        <f t="shared" ref="K18:P20" si="12">((EXP(g*(ah-age)/gh)/(1+EXP((ah-age)/gh))) *(1/(1-g))*((1-g)/g)^g) *(sr+(1-sr)*dmr)</f>
        <v>2.8474655284082498E-7</v>
      </c>
      <c r="M18" s="4">
        <f t="shared" si="12"/>
        <v>7.2799064193298868E-7</v>
      </c>
      <c r="N18" s="4">
        <f t="shared" si="12"/>
        <v>1.8613941753055458E-6</v>
      </c>
      <c r="O18" s="4">
        <f t="shared" si="12"/>
        <v>4.7973732538525313E-6</v>
      </c>
      <c r="P18" s="4">
        <f t="shared" ref="P18:AI18" si="13">((EXP(g*(ah-age)/gh)/(1+EXP((ah-age)/gh))) *(1/(1-g))*((1-g)/g)^g) *(sr_1+(1-sr_1)*dmr)</f>
        <v>1.7137769583510798E-5</v>
      </c>
      <c r="Q18" s="4">
        <f t="shared" si="13"/>
        <v>1.5704525993082906E-4</v>
      </c>
      <c r="R18" s="4">
        <f t="shared" si="13"/>
        <v>4.9270679394694951E-4</v>
      </c>
      <c r="S18" s="4">
        <f t="shared" si="13"/>
        <v>1.268564977270979E-3</v>
      </c>
      <c r="T18" s="4">
        <f t="shared" si="13"/>
        <v>3.2379295167042068E-3</v>
      </c>
      <c r="U18" s="4">
        <f t="shared" si="13"/>
        <v>8.236827271567819E-3</v>
      </c>
      <c r="V18" s="4">
        <f t="shared" si="13"/>
        <v>2.079200621233079E-2</v>
      </c>
      <c r="W18" s="4">
        <f t="shared" si="13"/>
        <v>5.1491204378878774E-2</v>
      </c>
      <c r="X18" s="4">
        <f t="shared" si="13"/>
        <v>0.1218766197503028</v>
      </c>
      <c r="Y18" s="4">
        <f t="shared" si="13"/>
        <v>0.26191103363059803</v>
      </c>
      <c r="Z18" s="4">
        <f t="shared" si="13"/>
        <v>0.47569349278639222</v>
      </c>
      <c r="AA18" s="4">
        <f t="shared" si="13"/>
        <v>0.69879031204778541</v>
      </c>
      <c r="AB18" s="4">
        <f t="shared" si="13"/>
        <v>0.85577098971264853</v>
      </c>
      <c r="AC18" s="4">
        <f t="shared" si="13"/>
        <v>0.93820466490256382</v>
      </c>
      <c r="AD18" s="4">
        <f t="shared" si="13"/>
        <v>0.97493218621747679</v>
      </c>
      <c r="AE18" s="4">
        <f t="shared" si="13"/>
        <v>0.99008666767320841</v>
      </c>
      <c r="AF18" s="4">
        <f t="shared" si="13"/>
        <v>0.99613747651752416</v>
      </c>
      <c r="AG18" s="4">
        <f t="shared" si="13"/>
        <v>0.9985186584962934</v>
      </c>
      <c r="AH18" s="4">
        <f t="shared" si="13"/>
        <v>0.99944742353154647</v>
      </c>
      <c r="AI18" s="4">
        <f t="shared" si="13"/>
        <v>0.99980545659782449</v>
      </c>
    </row>
    <row r="19" spans="1:39">
      <c r="A19" t="s">
        <v>21</v>
      </c>
      <c r="B19">
        <v>12</v>
      </c>
      <c r="E19">
        <v>200</v>
      </c>
      <c r="F19" s="31">
        <v>0.4</v>
      </c>
      <c r="G19" s="3">
        <f>Selectivities!A10</f>
        <v>2.94001736541456</v>
      </c>
      <c r="H19" s="3">
        <f>Selectivities!B10</f>
        <v>0.36831376926404646</v>
      </c>
      <c r="I19" s="7">
        <f>Selectivities!C10</f>
        <v>3.1690884023873961E-2</v>
      </c>
      <c r="J19" s="8" t="s">
        <v>104</v>
      </c>
      <c r="K19" s="4">
        <f t="shared" si="12"/>
        <v>2.7913402329611753E-3</v>
      </c>
      <c r="L19" s="4">
        <f t="shared" si="12"/>
        <v>3.6077760555441117E-2</v>
      </c>
      <c r="M19" s="4">
        <f t="shared" si="12"/>
        <v>0.24760759580191832</v>
      </c>
      <c r="N19" s="4">
        <f t="shared" si="12"/>
        <v>0.39787494152939112</v>
      </c>
      <c r="O19" s="4">
        <f t="shared" si="12"/>
        <v>0.38506651442741963</v>
      </c>
      <c r="P19" s="4">
        <f t="shared" ref="P19:Y19" si="14">((EXP(g*(ah-age)/gh)/(1+EXP((ah-age)/gh))) *(1/(1-g))*((1-g)/g)^g) *(sr_2+(1-sr_2)*dmr)</f>
        <v>0.35371766938136068</v>
      </c>
      <c r="Q19" s="4">
        <f t="shared" si="14"/>
        <v>0.32462999187708075</v>
      </c>
      <c r="R19" s="4">
        <f t="shared" si="14"/>
        <v>0.29787028803561516</v>
      </c>
      <c r="S19" s="4">
        <f t="shared" si="14"/>
        <v>0.27331253470735434</v>
      </c>
      <c r="T19" s="4">
        <f t="shared" si="14"/>
        <v>0.25077919570694979</v>
      </c>
      <c r="U19" s="4">
        <f t="shared" si="14"/>
        <v>0.23010361066963747</v>
      </c>
      <c r="V19" s="4">
        <f t="shared" si="14"/>
        <v>0.21113263113934488</v>
      </c>
      <c r="W19" s="4">
        <f t="shared" si="14"/>
        <v>0.19372572116503445</v>
      </c>
      <c r="X19" s="4">
        <f t="shared" si="14"/>
        <v>0.1777539304929163</v>
      </c>
      <c r="Y19" s="4">
        <f t="shared" si="14"/>
        <v>0.16309894017265125</v>
      </c>
      <c r="Z19" s="4">
        <f>Y19</f>
        <v>0.16309894017265125</v>
      </c>
      <c r="AA19" s="4">
        <f t="shared" ref="AA19:AI20" si="15">Z19</f>
        <v>0.16309894017265125</v>
      </c>
      <c r="AB19" s="4">
        <f t="shared" si="15"/>
        <v>0.16309894017265125</v>
      </c>
      <c r="AC19" s="4">
        <f t="shared" si="15"/>
        <v>0.16309894017265125</v>
      </c>
      <c r="AD19" s="4">
        <f t="shared" si="15"/>
        <v>0.16309894017265125</v>
      </c>
      <c r="AE19" s="4">
        <f t="shared" si="15"/>
        <v>0.16309894017265125</v>
      </c>
      <c r="AF19" s="4">
        <f t="shared" si="15"/>
        <v>0.16309894017265125</v>
      </c>
      <c r="AG19" s="4">
        <f t="shared" si="15"/>
        <v>0.16309894017265125</v>
      </c>
      <c r="AH19" s="4">
        <f t="shared" si="15"/>
        <v>0.16309894017265125</v>
      </c>
      <c r="AI19" s="4">
        <f t="shared" si="15"/>
        <v>0.16309894017265125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Selectivities!A11</f>
        <v>6.9694475487251424</v>
      </c>
      <c r="H20" s="3">
        <f>Selectivities!B11</f>
        <v>0.72278581988550117</v>
      </c>
      <c r="I20" s="7">
        <f>Selectivities!C11</f>
        <v>7.7284707242588305E-2</v>
      </c>
      <c r="J20" s="8" t="s">
        <v>105</v>
      </c>
      <c r="K20" s="4">
        <f t="shared" si="12"/>
        <v>2.2517159451801021E-5</v>
      </c>
      <c r="L20" s="4">
        <f t="shared" si="12"/>
        <v>8.0649597967121964E-5</v>
      </c>
      <c r="M20" s="4">
        <f t="shared" si="12"/>
        <v>2.8819851781693308E-4</v>
      </c>
      <c r="N20" s="4">
        <f t="shared" si="12"/>
        <v>1.0211086414450173E-3</v>
      </c>
      <c r="O20" s="4">
        <f t="shared" si="12"/>
        <v>3.6398974953330489E-3</v>
      </c>
      <c r="P20" s="4">
        <f t="shared" ref="P20:Y20" si="16">((EXP(g*(ah-age)/gh)/(1+EXP((ah-age)/gh))) *(1/(1-g))*((1-g)/g)^g) *(sr_3+(1-sr_3)*dmr)</f>
        <v>3.3247090371016599E-2</v>
      </c>
      <c r="Q20" s="4">
        <f t="shared" si="16"/>
        <v>0.52071142085930722</v>
      </c>
      <c r="R20" s="4">
        <f t="shared" si="16"/>
        <v>0.9390844473751867</v>
      </c>
      <c r="S20" s="4">
        <f t="shared" si="16"/>
        <v>0.99607472397654595</v>
      </c>
      <c r="T20" s="4">
        <f t="shared" si="16"/>
        <v>0.93522350057800274</v>
      </c>
      <c r="U20" s="4">
        <f t="shared" si="16"/>
        <v>0.8498760006410957</v>
      </c>
      <c r="V20" s="4">
        <f t="shared" si="16"/>
        <v>0.76585734156821039</v>
      </c>
      <c r="W20" s="4">
        <f t="shared" si="16"/>
        <v>0.6886827052361959</v>
      </c>
      <c r="X20" s="4">
        <f t="shared" si="16"/>
        <v>0.61895512421121124</v>
      </c>
      <c r="Y20" s="4">
        <f t="shared" si="16"/>
        <v>0.5562130005311563</v>
      </c>
      <c r="Z20" s="4">
        <f>Y20</f>
        <v>0.5562130005311563</v>
      </c>
      <c r="AA20" s="4">
        <f t="shared" si="15"/>
        <v>0.5562130005311563</v>
      </c>
      <c r="AB20" s="4">
        <f t="shared" si="15"/>
        <v>0.5562130005311563</v>
      </c>
      <c r="AC20" s="4">
        <f t="shared" si="15"/>
        <v>0.5562130005311563</v>
      </c>
      <c r="AD20" s="4">
        <f t="shared" si="15"/>
        <v>0.5562130005311563</v>
      </c>
      <c r="AE20" s="4">
        <f t="shared" si="15"/>
        <v>0.5562130005311563</v>
      </c>
      <c r="AF20" s="4">
        <f t="shared" si="15"/>
        <v>0.5562130005311563</v>
      </c>
      <c r="AG20" s="4">
        <f t="shared" si="15"/>
        <v>0.5562130005311563</v>
      </c>
      <c r="AH20" s="4">
        <f t="shared" si="15"/>
        <v>0.5562130005311563</v>
      </c>
      <c r="AI20" s="4">
        <f t="shared" si="15"/>
        <v>0.5562130005311563</v>
      </c>
    </row>
    <row r="21" spans="1:39">
      <c r="A21" t="s">
        <v>42</v>
      </c>
      <c r="B21" s="1">
        <f>Bo/phie</f>
        <v>23340.498735509871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3"/>
    </row>
    <row r="22" spans="1:39">
      <c r="A22" t="s">
        <v>79</v>
      </c>
      <c r="B22" s="31">
        <f>(winf/0.00001)^(1/3)</f>
        <v>198.92875480624187</v>
      </c>
      <c r="J22" s="8" t="s">
        <v>23</v>
      </c>
      <c r="K22" s="1">
        <f t="shared" ref="K22:AI22" ca="1" si="17">wa*flt1_*(1-EXP(-za))/za</f>
        <v>5.2944612273367152E-9</v>
      </c>
      <c r="L22" s="1">
        <f t="shared" ca="1" si="17"/>
        <v>7.7496117340392401E-8</v>
      </c>
      <c r="M22" s="1">
        <f t="shared" ca="1" si="17"/>
        <v>5.4942501089841531E-7</v>
      </c>
      <c r="N22" s="1">
        <f t="shared" ca="1" si="17"/>
        <v>2.8510148343364467E-6</v>
      </c>
      <c r="O22" s="1">
        <f t="shared" ca="1" si="17"/>
        <v>1.2563314816312001E-5</v>
      </c>
      <c r="P22" s="1">
        <f t="shared" ca="1" si="17"/>
        <v>6.8548866382756846E-5</v>
      </c>
      <c r="Q22" s="1">
        <f t="shared" ca="1" si="17"/>
        <v>8.830132731419833E-4</v>
      </c>
      <c r="R22" s="1">
        <f t="shared" ca="1" si="17"/>
        <v>3.6786370138700048E-3</v>
      </c>
      <c r="S22" s="1">
        <f t="shared" ca="1" si="17"/>
        <v>1.2077329127693732E-2</v>
      </c>
      <c r="T22" s="1">
        <f t="shared" ca="1" si="17"/>
        <v>3.8012398940676526E-2</v>
      </c>
      <c r="U22" s="1">
        <f t="shared" ca="1" si="17"/>
        <v>0.11596148713276376</v>
      </c>
      <c r="V22" s="1">
        <f t="shared" ca="1" si="17"/>
        <v>0.34284187239010377</v>
      </c>
      <c r="W22" s="1">
        <f t="shared" ca="1" si="17"/>
        <v>0.97375865530411054</v>
      </c>
      <c r="X22" s="1">
        <f t="shared" ca="1" si="17"/>
        <v>2.5900134093656089</v>
      </c>
      <c r="Y22" s="1">
        <f t="shared" ca="1" si="17"/>
        <v>6.12297488130167</v>
      </c>
      <c r="Z22" s="1">
        <f t="shared" ca="1" si="17"/>
        <v>11.983897827885938</v>
      </c>
      <c r="AA22" s="1">
        <f t="shared" ca="1" si="17"/>
        <v>18.764794791507782</v>
      </c>
      <c r="AB22" s="1">
        <f t="shared" ca="1" si="17"/>
        <v>24.456932065646345</v>
      </c>
      <c r="AC22" s="1">
        <f t="shared" ca="1" si="17"/>
        <v>28.543745672874554</v>
      </c>
      <c r="AD22" s="1">
        <f t="shared" ca="1" si="17"/>
        <v>31.514546816251851</v>
      </c>
      <c r="AE22" s="1">
        <f t="shared" ca="1" si="17"/>
        <v>33.876940704664513</v>
      </c>
      <c r="AF22" s="1">
        <f t="shared" ca="1" si="17"/>
        <v>35.919424964916359</v>
      </c>
      <c r="AG22" s="1">
        <f t="shared" ca="1" si="17"/>
        <v>37.777218363991665</v>
      </c>
      <c r="AH22" s="1">
        <f t="shared" ca="1" si="17"/>
        <v>39.509114350073695</v>
      </c>
      <c r="AI22" s="1">
        <f t="shared" ca="1" si="17"/>
        <v>41.140119333864234</v>
      </c>
      <c r="AM22" s="43"/>
    </row>
    <row r="23" spans="1:39">
      <c r="A23" t="s">
        <v>80</v>
      </c>
      <c r="B23" s="31">
        <v>7.785234075604705E-2</v>
      </c>
      <c r="J23" s="8" t="s">
        <v>24</v>
      </c>
      <c r="K23" s="1">
        <f t="shared" ref="K23:AI23" ca="1" si="18">wa*flt2_*(1-EXP(-za))/za</f>
        <v>1.3269167516722562E-4</v>
      </c>
      <c r="L23" s="1">
        <f t="shared" ca="1" si="18"/>
        <v>9.8188593943961209E-3</v>
      </c>
      <c r="M23" s="1">
        <f t="shared" ca="1" si="18"/>
        <v>0.18687301482444332</v>
      </c>
      <c r="N23" s="1">
        <f t="shared" ca="1" si="18"/>
        <v>0.60940738697908448</v>
      </c>
      <c r="O23" s="1">
        <f t="shared" ca="1" si="18"/>
        <v>1.0084084748016418</v>
      </c>
      <c r="P23" s="1">
        <f t="shared" ca="1" si="18"/>
        <v>1.4148250236117301</v>
      </c>
      <c r="Q23" s="1">
        <f t="shared" ca="1" si="18"/>
        <v>1.8252864926562782</v>
      </c>
      <c r="R23" s="1">
        <f t="shared" ca="1" si="18"/>
        <v>2.2239528262277526</v>
      </c>
      <c r="S23" s="1">
        <f t="shared" ca="1" si="18"/>
        <v>2.6020625632326837</v>
      </c>
      <c r="T23" s="1">
        <f t="shared" ca="1" si="18"/>
        <v>2.9440785489789296</v>
      </c>
      <c r="U23" s="1">
        <f t="shared" ca="1" si="18"/>
        <v>3.2394945296443867</v>
      </c>
      <c r="V23" s="1">
        <f t="shared" ca="1" si="18"/>
        <v>3.4813911578928747</v>
      </c>
      <c r="W23" s="1">
        <f t="shared" ca="1" si="18"/>
        <v>3.6635790522868854</v>
      </c>
      <c r="X23" s="1">
        <f t="shared" ca="1" si="18"/>
        <v>3.7774682665741697</v>
      </c>
      <c r="Y23" s="1">
        <f t="shared" ca="1" si="18"/>
        <v>3.8129386914358654</v>
      </c>
      <c r="Z23" s="1">
        <f t="shared" ca="1" si="18"/>
        <v>4.1088664539357485</v>
      </c>
      <c r="AA23" s="1">
        <f t="shared" ca="1" si="18"/>
        <v>4.3797375125070683</v>
      </c>
      <c r="AB23" s="1">
        <f t="shared" ca="1" si="18"/>
        <v>4.6611765854797733</v>
      </c>
      <c r="AC23" s="1">
        <f t="shared" ca="1" si="18"/>
        <v>4.9620885953354605</v>
      </c>
      <c r="AD23" s="1">
        <f t="shared" ca="1" si="18"/>
        <v>5.2721504720180681</v>
      </c>
      <c r="AE23" s="1">
        <f t="shared" ca="1" si="18"/>
        <v>5.5806156224762233</v>
      </c>
      <c r="AF23" s="1">
        <f t="shared" ca="1" si="18"/>
        <v>5.8811361699489959</v>
      </c>
      <c r="AG23" s="1">
        <f t="shared" ca="1" si="18"/>
        <v>6.1705649918616219</v>
      </c>
      <c r="AH23" s="1">
        <f t="shared" ca="1" si="18"/>
        <v>6.4474573908926702</v>
      </c>
      <c r="AI23" s="1">
        <f t="shared" ca="1" si="18"/>
        <v>6.7112154846227687</v>
      </c>
      <c r="AM23" s="43"/>
    </row>
    <row r="24" spans="1:39">
      <c r="A24" t="s">
        <v>127</v>
      </c>
      <c r="B24" s="31">
        <v>0.16405328226882354</v>
      </c>
      <c r="J24" s="8" t="s">
        <v>25</v>
      </c>
      <c r="K24" s="1">
        <f t="shared" ref="K24:AI24" ca="1" si="19">wa*flt3_*(1-EXP(-za))/za</f>
        <v>1.0703960672316089E-6</v>
      </c>
      <c r="L24" s="1">
        <f t="shared" ca="1" si="19"/>
        <v>2.1949451697170715E-5</v>
      </c>
      <c r="M24" s="1">
        <f t="shared" ca="1" si="19"/>
        <v>2.1750756764130362E-4</v>
      </c>
      <c r="N24" s="1">
        <f t="shared" ca="1" si="19"/>
        <v>1.5639867809036261E-3</v>
      </c>
      <c r="O24" s="1">
        <f t="shared" ca="1" si="19"/>
        <v>9.5321284613932855E-3</v>
      </c>
      <c r="P24" s="1">
        <f t="shared" ca="1" si="19"/>
        <v>0.13298407032214157</v>
      </c>
      <c r="Q24" s="1">
        <f t="shared" ca="1" si="19"/>
        <v>2.9277871633814829</v>
      </c>
      <c r="R24" s="1">
        <f t="shared" ca="1" si="19"/>
        <v>7.01137238151414</v>
      </c>
      <c r="S24" s="1">
        <f t="shared" ca="1" si="19"/>
        <v>9.4830950663016083</v>
      </c>
      <c r="T24" s="1">
        <f t="shared" ca="1" si="19"/>
        <v>10.97926579910623</v>
      </c>
      <c r="U24" s="1">
        <f t="shared" ca="1" si="19"/>
        <v>11.964908533771929</v>
      </c>
      <c r="V24" s="1">
        <f t="shared" ca="1" si="19"/>
        <v>12.628313125995291</v>
      </c>
      <c r="W24" s="1">
        <f t="shared" ca="1" si="19"/>
        <v>13.023792181040411</v>
      </c>
      <c r="X24" s="1">
        <f t="shared" ca="1" si="19"/>
        <v>13.153483209388156</v>
      </c>
      <c r="Y24" s="1">
        <f t="shared" ca="1" si="19"/>
        <v>13.00318731783215</v>
      </c>
      <c r="Z24" s="1">
        <f t="shared" ca="1" si="19"/>
        <v>14.012383751274896</v>
      </c>
      <c r="AA24" s="1">
        <f t="shared" ca="1" si="19"/>
        <v>14.936129816611178</v>
      </c>
      <c r="AB24" s="1">
        <f t="shared" ca="1" si="19"/>
        <v>15.895915766655655</v>
      </c>
      <c r="AC24" s="1">
        <f t="shared" ca="1" si="19"/>
        <v>16.922109877546379</v>
      </c>
      <c r="AD24" s="1">
        <f t="shared" ca="1" si="19"/>
        <v>17.979507593297278</v>
      </c>
      <c r="AE24" s="1">
        <f t="shared" ca="1" si="19"/>
        <v>19.031460026059897</v>
      </c>
      <c r="AF24" s="1">
        <f t="shared" ca="1" si="19"/>
        <v>20.056319140743003</v>
      </c>
      <c r="AG24" s="1">
        <f t="shared" ca="1" si="19"/>
        <v>21.043352369198118</v>
      </c>
      <c r="AH24" s="1">
        <f t="shared" ca="1" si="19"/>
        <v>21.987632889514796</v>
      </c>
      <c r="AI24" s="1">
        <f t="shared" ca="1" si="19"/>
        <v>22.887121755430769</v>
      </c>
      <c r="AM24" s="44"/>
    </row>
    <row r="25" spans="1:39">
      <c r="A25" s="40"/>
      <c r="B25" s="40" t="s">
        <v>97</v>
      </c>
      <c r="C25" s="40">
        <v>1</v>
      </c>
      <c r="E25" t="s">
        <v>113</v>
      </c>
      <c r="J25" s="2" t="s">
        <v>29</v>
      </c>
      <c r="AM25" s="44"/>
    </row>
    <row r="26" spans="1:39">
      <c r="A26" s="14" t="s">
        <v>13</v>
      </c>
      <c r="B26" s="14"/>
      <c r="C26" s="14"/>
      <c r="E26" t="s">
        <v>114</v>
      </c>
      <c r="J26" s="8" t="s">
        <v>30</v>
      </c>
      <c r="K26">
        <f ca="1">qa1_/wa</f>
        <v>1.0341560911062689E-7</v>
      </c>
      <c r="L26">
        <f t="shared" ref="L26:AI26" ca="1" si="20">qa1_/wa</f>
        <v>2.6410738268890453E-7</v>
      </c>
      <c r="M26">
        <f t="shared" ca="1" si="20"/>
        <v>6.7057283037515883E-7</v>
      </c>
      <c r="N26">
        <f t="shared" ca="1" si="20"/>
        <v>1.7061921672787902E-6</v>
      </c>
      <c r="O26">
        <f t="shared" ca="1" si="20"/>
        <v>4.3990937804248605E-6</v>
      </c>
      <c r="P26">
        <f t="shared" ca="1" si="20"/>
        <v>1.5726544935086101E-5</v>
      </c>
      <c r="Q26">
        <f t="shared" ca="1" si="20"/>
        <v>1.4357325813297087E-4</v>
      </c>
      <c r="R26">
        <f t="shared" ca="1" si="20"/>
        <v>4.4900876535899876E-4</v>
      </c>
      <c r="S26">
        <f t="shared" ca="1" si="20"/>
        <v>1.1562483770958217E-3</v>
      </c>
      <c r="T26">
        <f t="shared" ca="1" si="20"/>
        <v>2.954497244757368E-3</v>
      </c>
      <c r="U26">
        <f t="shared" ca="1" si="20"/>
        <v>7.5229003603572977E-3</v>
      </c>
      <c r="V26">
        <f t="shared" ca="1" si="20"/>
        <v>1.8990673677496916E-2</v>
      </c>
      <c r="W26">
        <f t="shared" ca="1" si="20"/>
        <v>4.6933026778507213E-2</v>
      </c>
      <c r="X26">
        <f t="shared" ca="1" si="20"/>
        <v>0.1103634551407648</v>
      </c>
      <c r="Y26">
        <f t="shared" ca="1" si="20"/>
        <v>0.23381503116322908</v>
      </c>
      <c r="Z26">
        <f t="shared" ca="1" si="20"/>
        <v>0.41491434976954028</v>
      </c>
      <c r="AA26">
        <f t="shared" ca="1" si="20"/>
        <v>0.5950339157437432</v>
      </c>
      <c r="AB26">
        <f t="shared" ca="1" si="20"/>
        <v>0.71657923113852362</v>
      </c>
      <c r="AC26">
        <f t="shared" ca="1" si="20"/>
        <v>0.77874513878502383</v>
      </c>
      <c r="AD26">
        <f t="shared" ca="1" si="20"/>
        <v>0.8060819607606301</v>
      </c>
      <c r="AE26">
        <f t="shared" ca="1" si="20"/>
        <v>0.81729752344564299</v>
      </c>
      <c r="AF26">
        <f t="shared" ca="1" si="20"/>
        <v>0.82176519827321648</v>
      </c>
      <c r="AG26">
        <f t="shared" ca="1" si="20"/>
        <v>0.82352173974682963</v>
      </c>
      <c r="AH26">
        <f t="shared" ca="1" si="20"/>
        <v>0.82420661861250843</v>
      </c>
      <c r="AI26">
        <f t="shared" ca="1" si="20"/>
        <v>0.824470597779972</v>
      </c>
      <c r="AM26" s="44"/>
    </row>
    <row r="27" spans="1:39">
      <c r="A27" t="s">
        <v>14</v>
      </c>
      <c r="B27" s="28">
        <f ca="1">fbar*C27</f>
        <v>0.22695666570182368</v>
      </c>
      <c r="C27" s="36">
        <f ca="1">CHOOSE(C$25,E36,E39,1)</f>
        <v>2.1691498134618463</v>
      </c>
      <c r="E27" s="42">
        <f ca="1">f1_/(F4/(365*re*phib))</f>
        <v>2064.3226266779184</v>
      </c>
      <c r="J27" s="8" t="s">
        <v>31</v>
      </c>
      <c r="K27">
        <f t="shared" ref="K27:AI27" ca="1" si="21">qa2_/wa</f>
        <v>2.5918388712482623E-3</v>
      </c>
      <c r="L27">
        <f t="shared" ca="1" si="21"/>
        <v>3.3462750711159575E-2</v>
      </c>
      <c r="M27">
        <f t="shared" ca="1" si="21"/>
        <v>0.22807838009896358</v>
      </c>
      <c r="N27">
        <f t="shared" ca="1" si="21"/>
        <v>0.36470035084456048</v>
      </c>
      <c r="O27">
        <f t="shared" ca="1" si="21"/>
        <v>0.35309816831684293</v>
      </c>
      <c r="P27">
        <f t="shared" ca="1" si="21"/>
        <v>0.32459047805218111</v>
      </c>
      <c r="Q27">
        <f t="shared" ca="1" si="21"/>
        <v>0.29678186811878959</v>
      </c>
      <c r="R27">
        <f t="shared" ca="1" si="21"/>
        <v>0.27145225499448167</v>
      </c>
      <c r="S27">
        <f t="shared" ca="1" si="21"/>
        <v>0.24911390457520038</v>
      </c>
      <c r="T27">
        <f t="shared" ca="1" si="21"/>
        <v>0.22882723015935783</v>
      </c>
      <c r="U27">
        <f t="shared" ca="1" si="21"/>
        <v>0.21015938280039217</v>
      </c>
      <c r="V27">
        <f t="shared" ca="1" si="21"/>
        <v>0.19284098223579507</v>
      </c>
      <c r="W27">
        <f t="shared" ca="1" si="21"/>
        <v>0.17657645745131756</v>
      </c>
      <c r="X27">
        <f t="shared" ca="1" si="21"/>
        <v>0.16096227458754123</v>
      </c>
      <c r="Y27">
        <f t="shared" ca="1" si="21"/>
        <v>0.14560281501139066</v>
      </c>
      <c r="Z27">
        <f t="shared" ca="1" si="21"/>
        <v>0.14225986215082526</v>
      </c>
      <c r="AA27">
        <f t="shared" ca="1" si="21"/>
        <v>0.1388820070218012</v>
      </c>
      <c r="AB27">
        <f t="shared" ca="1" si="21"/>
        <v>0.1365707818486232</v>
      </c>
      <c r="AC27">
        <f t="shared" ca="1" si="21"/>
        <v>0.13537825119813524</v>
      </c>
      <c r="AD27">
        <f t="shared" ca="1" si="21"/>
        <v>0.13485154695982551</v>
      </c>
      <c r="AE27">
        <f t="shared" ca="1" si="21"/>
        <v>0.13463504179183086</v>
      </c>
      <c r="AF27">
        <f t="shared" ca="1" si="21"/>
        <v>0.13454873054037977</v>
      </c>
      <c r="AG27">
        <f t="shared" ca="1" si="21"/>
        <v>0.13451478529616723</v>
      </c>
      <c r="AH27">
        <f t="shared" ca="1" si="21"/>
        <v>0.13450154836958428</v>
      </c>
      <c r="AI27">
        <f t="shared" ca="1" si="21"/>
        <v>0.13449644609763006</v>
      </c>
    </row>
    <row r="28" spans="1:39">
      <c r="A28" t="s">
        <v>15</v>
      </c>
      <c r="B28" s="28">
        <f ca="1">fbar*C28</f>
        <v>6.7118277041570959E-2</v>
      </c>
      <c r="C28" s="36">
        <f ca="1">CHOOSE(C$25,E37,E40,1)</f>
        <v>0.64148632812521222</v>
      </c>
      <c r="E28" s="42">
        <f ca="1">f2_/(F5/(365*re*phib))</f>
        <v>1637.21387899418</v>
      </c>
      <c r="J28" s="8" t="s">
        <v>32</v>
      </c>
      <c r="K28">
        <f t="shared" ref="K28:AI28" ca="1" si="22">qa3_/wa</f>
        <v>2.0907823578124462E-5</v>
      </c>
      <c r="L28">
        <f t="shared" ca="1" si="22"/>
        <v>7.4803905513531855E-5</v>
      </c>
      <c r="M28">
        <f t="shared" ca="1" si="22"/>
        <v>2.654678297639653E-4</v>
      </c>
      <c r="N28">
        <f t="shared" ca="1" si="22"/>
        <v>9.3596917250919945E-4</v>
      </c>
      <c r="O28">
        <f t="shared" ca="1" si="22"/>
        <v>3.3377120323595834E-3</v>
      </c>
      <c r="P28">
        <f t="shared" ca="1" si="22"/>
        <v>3.0509329591158443E-2</v>
      </c>
      <c r="Q28">
        <f t="shared" ca="1" si="22"/>
        <v>0.47604260881702293</v>
      </c>
      <c r="R28">
        <f t="shared" ca="1" si="22"/>
        <v>0.85579730879288551</v>
      </c>
      <c r="S28">
        <f t="shared" ca="1" si="22"/>
        <v>0.90788395052627435</v>
      </c>
      <c r="T28">
        <f t="shared" ca="1" si="22"/>
        <v>0.85335867919155428</v>
      </c>
      <c r="U28">
        <f t="shared" ca="1" si="22"/>
        <v>0.77621300783510994</v>
      </c>
      <c r="V28">
        <f t="shared" ca="1" si="22"/>
        <v>0.69950666177714538</v>
      </c>
      <c r="W28">
        <f t="shared" ca="1" si="22"/>
        <v>0.62771815568569889</v>
      </c>
      <c r="X28">
        <f t="shared" ca="1" si="22"/>
        <v>0.56048507273160397</v>
      </c>
      <c r="Y28">
        <f t="shared" ca="1" si="22"/>
        <v>0.49654632051893866</v>
      </c>
      <c r="Z28">
        <f t="shared" ca="1" si="22"/>
        <v>0.48514591632721915</v>
      </c>
      <c r="AA28">
        <f t="shared" ca="1" si="22"/>
        <v>0.47362648563879667</v>
      </c>
      <c r="AB28">
        <f t="shared" ca="1" si="22"/>
        <v>0.46574456140853709</v>
      </c>
      <c r="AC28">
        <f t="shared" ca="1" si="22"/>
        <v>0.46167769837048722</v>
      </c>
      <c r="AD28">
        <f t="shared" ca="1" si="22"/>
        <v>0.45988148961233938</v>
      </c>
      <c r="AE28">
        <f t="shared" ca="1" si="22"/>
        <v>0.45914314643859877</v>
      </c>
      <c r="AF28">
        <f t="shared" ca="1" si="22"/>
        <v>0.45884880093213259</v>
      </c>
      <c r="AG28">
        <f t="shared" ca="1" si="22"/>
        <v>0.45873303815576361</v>
      </c>
      <c r="AH28">
        <f t="shared" ca="1" si="22"/>
        <v>0.45868789653409087</v>
      </c>
      <c r="AI28">
        <f t="shared" ca="1" si="22"/>
        <v>0.45867049635975371</v>
      </c>
    </row>
    <row r="29" spans="1:39">
      <c r="A29" t="s">
        <v>19</v>
      </c>
      <c r="B29" s="28">
        <f ca="1">fbar*C29</f>
        <v>1.9813011366533403E-2</v>
      </c>
      <c r="C29" s="36">
        <f ca="1">CHOOSE(C$25,E38,E41,1)</f>
        <v>0.18936385841294123</v>
      </c>
      <c r="E29" s="42">
        <f ca="1">f3_/(F6/(365*re*phib))</f>
        <v>635.48598166652857</v>
      </c>
    </row>
    <row r="30" spans="1:39">
      <c r="A30" t="s">
        <v>95</v>
      </c>
      <c r="B30" s="28">
        <v>0.10462931803664269</v>
      </c>
      <c r="C30" s="36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112</v>
      </c>
      <c r="B31" s="37">
        <f ca="1">SUM(B27:B29)</f>
        <v>0.31388795410992804</v>
      </c>
      <c r="G31">
        <f ca="1">SUMPRODUCT(dlz1_,wa,ma)</f>
        <v>-18.897560318600469</v>
      </c>
      <c r="H31">
        <f ca="1">Ro/(reck-1)*phie/phif^2*dphif</f>
        <v>-5849.4271410101246</v>
      </c>
      <c r="J31" s="8" t="s">
        <v>52</v>
      </c>
      <c r="K31">
        <v>0</v>
      </c>
      <c r="L31">
        <f t="shared" ref="L31:AH31" ca="1" si="23">K31*sa-K$7*K18*K$10</f>
        <v>-9.5844043720141792E-8</v>
      </c>
      <c r="M31">
        <f t="shared" ca="1" si="23"/>
        <v>-2.9152900515880233E-7</v>
      </c>
      <c r="N31">
        <f t="shared" ca="1" si="23"/>
        <v>-6.996478287285107E-7</v>
      </c>
      <c r="O31">
        <f t="shared" ca="1" si="23"/>
        <v>-1.5624508167558462E-6</v>
      </c>
      <c r="P31">
        <f t="shared" ca="1" si="23"/>
        <v>-3.4213406840047099E-6</v>
      </c>
      <c r="Q31">
        <f t="shared" ca="1" si="23"/>
        <v>-9.1797433672556157E-6</v>
      </c>
      <c r="R31">
        <f t="shared" ca="1" si="23"/>
        <v>-5.5933849234912022E-5</v>
      </c>
      <c r="S31">
        <f t="shared" ca="1" si="23"/>
        <v>-1.7189008904847528E-4</v>
      </c>
      <c r="T31">
        <f t="shared" ca="1" si="23"/>
        <v>-4.1047508362070746E-4</v>
      </c>
      <c r="U31">
        <f t="shared" ca="1" si="23"/>
        <v>-9.0885206798381273E-4</v>
      </c>
      <c r="V31">
        <f t="shared" ca="1" si="23"/>
        <v>-1.9567105524839049E-3</v>
      </c>
      <c r="W31">
        <f t="shared" ca="1" si="23"/>
        <v>-4.1420675013033939E-3</v>
      </c>
      <c r="X31">
        <f t="shared" ca="1" si="23"/>
        <v>-8.556974045557374E-3</v>
      </c>
      <c r="Y31">
        <f t="shared" ca="1" si="23"/>
        <v>-1.6793444871015015E-2</v>
      </c>
      <c r="Z31">
        <f t="shared" ca="1" si="23"/>
        <v>-2.9750663369124335E-2</v>
      </c>
      <c r="AA31">
        <f t="shared" ca="1" si="23"/>
        <v>-4.4792743775677643E-2</v>
      </c>
      <c r="AB31">
        <f t="shared" ca="1" si="23"/>
        <v>-5.5773905285987947E-2</v>
      </c>
      <c r="AC31">
        <f t="shared" ca="1" si="23"/>
        <v>-5.894235424246129E-2</v>
      </c>
      <c r="AD31">
        <f t="shared" ca="1" si="23"/>
        <v>-5.5436355982132271E-2</v>
      </c>
      <c r="AE31">
        <f t="shared" ca="1" si="23"/>
        <v>-4.8264623313916503E-2</v>
      </c>
      <c r="AF31">
        <f t="shared" ca="1" si="23"/>
        <v>-3.9915898958777951E-2</v>
      </c>
      <c r="AG31">
        <f t="shared" ca="1" si="23"/>
        <v>-3.1862197878362114E-2</v>
      </c>
      <c r="AH31">
        <f t="shared" ca="1" si="23"/>
        <v>-2.4793633154537802E-2</v>
      </c>
      <c r="AI31">
        <f ca="1">(AH31*sa-AH$7*AH18*AH$10)/oa-AH$7*AH$10*flt1_*sa/oa^2</f>
        <v>-7.176079640166326E-2</v>
      </c>
    </row>
    <row r="32" spans="1:39">
      <c r="A32" s="12" t="s">
        <v>22</v>
      </c>
      <c r="B32" s="12"/>
      <c r="C32" s="12"/>
      <c r="G32">
        <f ca="1">SUMPRODUCT(dlz2_,wa,ma)</f>
        <v>-53.328517726296603</v>
      </c>
      <c r="H32">
        <f ca="1">Ro/(reck-1)*phie/phif^2*dphif</f>
        <v>-16506.960354612638</v>
      </c>
      <c r="J32" s="8" t="s">
        <v>53</v>
      </c>
      <c r="K32">
        <v>0</v>
      </c>
      <c r="L32">
        <f t="shared" ref="L32:AH32" ca="1" si="24">K32*sa-K$7*K19*K$10</f>
        <v>-2.4020775995792572E-3</v>
      </c>
      <c r="M32">
        <f t="shared" ca="1" si="24"/>
        <v>-2.8690769860606792E-2</v>
      </c>
      <c r="N32">
        <f t="shared" ca="1" si="24"/>
        <v>-0.17891676325794292</v>
      </c>
      <c r="O32">
        <f t="shared" ca="1" si="24"/>
        <v>-0.35860461934997145</v>
      </c>
      <c r="P32">
        <f t="shared" ca="1" si="24"/>
        <v>-0.47048982290109853</v>
      </c>
      <c r="Q32">
        <f t="shared" ca="1" si="24"/>
        <v>-0.52275565457218487</v>
      </c>
      <c r="R32">
        <f t="shared" ca="1" si="24"/>
        <v>-0.53276461597334879</v>
      </c>
      <c r="S32">
        <f t="shared" ca="1" si="24"/>
        <v>-0.5172025468030822</v>
      </c>
      <c r="T32">
        <f t="shared" ca="1" si="24"/>
        <v>-0.48706999685614377</v>
      </c>
      <c r="U32">
        <f t="shared" ca="1" si="24"/>
        <v>-0.44909588820034924</v>
      </c>
      <c r="V32">
        <f t="shared" ca="1" si="24"/>
        <v>-0.40713651639083481</v>
      </c>
      <c r="W32">
        <f t="shared" ca="1" si="24"/>
        <v>-0.3628488024341871</v>
      </c>
      <c r="X32">
        <f t="shared" ca="1" si="24"/>
        <v>-0.31598374944738972</v>
      </c>
      <c r="Y32">
        <f t="shared" ca="1" si="24"/>
        <v>-0.26529695161155936</v>
      </c>
      <c r="Z32">
        <f t="shared" ca="1" si="24"/>
        <v>-0.21114355048420652</v>
      </c>
      <c r="AA32">
        <f t="shared" ca="1" si="24"/>
        <v>-0.15973942671650837</v>
      </c>
      <c r="AB32">
        <f t="shared" ca="1" si="24"/>
        <v>-0.11652742244503703</v>
      </c>
      <c r="AC32">
        <f t="shared" ca="1" si="24"/>
        <v>-8.329904648216338E-2</v>
      </c>
      <c r="AD32">
        <f t="shared" ca="1" si="24"/>
        <v>-5.8938058860212084E-2</v>
      </c>
      <c r="AE32">
        <f t="shared" ca="1" si="24"/>
        <v>-4.1475978068170799E-2</v>
      </c>
      <c r="AF32">
        <f t="shared" ca="1" si="24"/>
        <v>-2.9092000091213727E-2</v>
      </c>
      <c r="AG32">
        <f t="shared" ca="1" si="24"/>
        <v>-2.0358295689000647E-2</v>
      </c>
      <c r="AH32">
        <f t="shared" ca="1" si="24"/>
        <v>-1.4219987215312315E-2</v>
      </c>
      <c r="AI32">
        <f ca="1">(AH32*sa-AH$7*AH19*AH$10)/oa-AH$7*AH$10*flt2_*sa/oa^2</f>
        <v>-3.2466348085669401E-2</v>
      </c>
    </row>
    <row r="33" spans="1:35">
      <c r="A33" s="61" t="s">
        <v>130</v>
      </c>
      <c r="B33" s="62">
        <f ca="1">SUMPRODUCT(lz,wa)</f>
        <v>35.627598745098304</v>
      </c>
      <c r="C33" s="61"/>
      <c r="D33" s="63"/>
      <c r="E33" s="63"/>
      <c r="G33">
        <f ca="1">SUMPRODUCT(dlz3_,wa,ma)</f>
        <v>-99.36080769334653</v>
      </c>
      <c r="H33">
        <f ca="1">Ro/(reck-1)*phie/phif^2*dphif</f>
        <v>-30755.49412069251</v>
      </c>
      <c r="J33" s="8" t="s">
        <v>54</v>
      </c>
      <c r="K33">
        <v>0</v>
      </c>
      <c r="L33">
        <f t="shared" ref="L33:AH33" ca="1" si="25">K33*sa-K$7*K20*K$10</f>
        <v>-1.9377058979279896E-5</v>
      </c>
      <c r="M33">
        <f t="shared" ca="1" si="25"/>
        <v>-7.5993910731087471E-5</v>
      </c>
      <c r="N33">
        <f t="shared" ca="1" si="25"/>
        <v>-2.4394607706642362E-4</v>
      </c>
      <c r="O33">
        <f t="shared" ca="1" si="25"/>
        <v>-7.3981707132964817E-4</v>
      </c>
      <c r="P33">
        <f t="shared" ca="1" si="25"/>
        <v>-2.2215312102467073E-3</v>
      </c>
      <c r="Q33">
        <f t="shared" ca="1" si="25"/>
        <v>-1.4128079182809354E-2</v>
      </c>
      <c r="R33">
        <f t="shared" ca="1" si="25"/>
        <v>-0.17195433023335796</v>
      </c>
      <c r="S33">
        <f t="shared" ca="1" si="25"/>
        <v>-0.3817442151060606</v>
      </c>
      <c r="T33">
        <f t="shared" ca="1" si="25"/>
        <v>-0.52717646624349501</v>
      </c>
      <c r="U33">
        <f t="shared" ca="1" si="25"/>
        <v>-0.60239891100132215</v>
      </c>
      <c r="V33">
        <f t="shared" ca="1" si="25"/>
        <v>-0.62500861817112319</v>
      </c>
      <c r="W33">
        <f t="shared" ca="1" si="25"/>
        <v>-0.61058680092609641</v>
      </c>
      <c r="X33">
        <f t="shared" ca="1" si="25"/>
        <v>-0.56815445920186802</v>
      </c>
      <c r="Y33">
        <f t="shared" ca="1" si="25"/>
        <v>-0.50158873610342591</v>
      </c>
      <c r="Z33">
        <f t="shared" ca="1" si="25"/>
        <v>-0.41534416614965475</v>
      </c>
      <c r="AA33">
        <f t="shared" ca="1" si="25"/>
        <v>-0.32581285649482955</v>
      </c>
      <c r="AB33">
        <f t="shared" ca="1" si="25"/>
        <v>-0.24558219597659078</v>
      </c>
      <c r="AC33">
        <f t="shared" ca="1" si="25"/>
        <v>-0.1807641435386359</v>
      </c>
      <c r="AD33">
        <f t="shared" ca="1" si="25"/>
        <v>-0.13127513929442686</v>
      </c>
      <c r="AE33">
        <f t="shared" ca="1" si="25"/>
        <v>-9.4554186275984636E-2</v>
      </c>
      <c r="AF33">
        <f t="shared" ca="1" si="25"/>
        <v>-6.771877612793499E-2</v>
      </c>
      <c r="AG33">
        <f t="shared" ca="1" si="25"/>
        <v>-4.8287202226044719E-2</v>
      </c>
      <c r="AH33">
        <f t="shared" ca="1" si="25"/>
        <v>-3.4306342665432629E-2</v>
      </c>
      <c r="AI33">
        <f ca="1">(AH33*sa-AH$7*AH20*AH$10)/oa-AH$7*AH$10*flt3_*sa/oa^2</f>
        <v>-8.1773768329798366E-2</v>
      </c>
    </row>
    <row r="34" spans="1:35">
      <c r="A34" t="s">
        <v>28</v>
      </c>
      <c r="B34" s="1">
        <f>SUMPRODUCT(lx,wa,ma)</f>
        <v>42.843985954705225</v>
      </c>
      <c r="G34" t="s">
        <v>57</v>
      </c>
      <c r="J34" s="8"/>
    </row>
    <row r="35" spans="1:35">
      <c r="A35" t="s">
        <v>27</v>
      </c>
      <c r="B35" s="1">
        <f ca="1">SUMPRODUCT(lz,wa,ma)</f>
        <v>17.137594381899561</v>
      </c>
      <c r="F35" s="37"/>
      <c r="G35" s="1">
        <f ca="1">SUM(dqa11_)</f>
        <v>284.83937231862745</v>
      </c>
      <c r="H35" s="1">
        <f ca="1">SUM(dqa12_)</f>
        <v>286.41745221955313</v>
      </c>
      <c r="I35" s="11">
        <f ca="1">SUM(dqa13_)</f>
        <v>285.27948459221255</v>
      </c>
      <c r="J35" s="8" t="s">
        <v>62</v>
      </c>
      <c r="K35">
        <f ca="1">flt1_*qa1_+lz*wa*flt1_^2/za*(sa-oa/za)</f>
        <v>3.0221484325369151E-16</v>
      </c>
      <c r="L35">
        <f t="shared" ref="L35:AI35" ca="1" si="26">flt1_*qa1_+lz*wa*flt1_^2/za*(sa-oa/za)</f>
        <v>1.2813130354041335E-14</v>
      </c>
      <c r="M35">
        <f t="shared" ca="1" si="26"/>
        <v>2.5630948980793918E-13</v>
      </c>
      <c r="N35">
        <f t="shared" ca="1" si="26"/>
        <v>3.6960529163207738E-12</v>
      </c>
      <c r="O35">
        <f t="shared" ca="1" si="26"/>
        <v>4.4938043679010661E-11</v>
      </c>
      <c r="P35">
        <f t="shared" ca="1" si="26"/>
        <v>9.240583377661708E-10</v>
      </c>
      <c r="Q35">
        <f t="shared" ca="1" si="26"/>
        <v>1.1384735806779649E-7</v>
      </c>
      <c r="R35">
        <f t="shared" ca="1" si="26"/>
        <v>1.5423474741001655E-6</v>
      </c>
      <c r="S35">
        <f t="shared" ca="1" si="26"/>
        <v>1.3429970997892417E-5</v>
      </c>
      <c r="T35">
        <f t="shared" ca="1" si="26"/>
        <v>1.104939133989605E-4</v>
      </c>
      <c r="U35">
        <f t="shared" ca="1" si="26"/>
        <v>8.7403121824446747E-4</v>
      </c>
      <c r="V35">
        <f t="shared" ca="1" si="26"/>
        <v>6.624761156920466E-3</v>
      </c>
      <c r="W35">
        <f t="shared" ca="1" si="26"/>
        <v>4.7195370649950122E-2</v>
      </c>
      <c r="X35">
        <f t="shared" ca="1" si="26"/>
        <v>0.3003417664483084</v>
      </c>
      <c r="Y35">
        <f t="shared" ca="1" si="26"/>
        <v>1.5403922680605302</v>
      </c>
      <c r="Z35">
        <f t="shared" ca="1" si="26"/>
        <v>5.5236773901389746</v>
      </c>
      <c r="AA35">
        <f t="shared" ca="1" si="26"/>
        <v>12.807666063080797</v>
      </c>
      <c r="AB35">
        <f t="shared" ca="1" si="26"/>
        <v>20.58193820574866</v>
      </c>
      <c r="AC35">
        <f t="shared" ca="1" si="26"/>
        <v>26.47251089945307</v>
      </c>
      <c r="AD35">
        <f t="shared" ca="1" si="26"/>
        <v>30.484921739758054</v>
      </c>
      <c r="AE35">
        <f t="shared" ca="1" si="26"/>
        <v>33.364674753645495</v>
      </c>
      <c r="AF35">
        <f t="shared" ca="1" si="26"/>
        <v>35.654132722171042</v>
      </c>
      <c r="AG35">
        <f t="shared" ca="1" si="26"/>
        <v>37.631659595802638</v>
      </c>
      <c r="AH35">
        <f t="shared" ca="1" si="26"/>
        <v>39.424324990011151</v>
      </c>
      <c r="AI35">
        <f t="shared" ca="1" si="26"/>
        <v>40.998312180231444</v>
      </c>
    </row>
    <row r="36" spans="1:35">
      <c r="A36" t="s">
        <v>33</v>
      </c>
      <c r="B36" s="1">
        <f ca="1">SUMPRODUCT(lz,ta1_)</f>
        <v>0.18356524662784557</v>
      </c>
      <c r="C36" s="29">
        <f ca="1">B11/(phi_t1/SUM(B$36:B$38))</f>
        <v>4.1956274972201077</v>
      </c>
      <c r="E36" s="38">
        <f ca="1">C36/AVERAGE(C$36:C$38)</f>
        <v>2.1691498134618463</v>
      </c>
      <c r="G36" s="1">
        <f ca="1">SUM(dqa21_)</f>
        <v>286.41745221955313</v>
      </c>
      <c r="H36" s="1">
        <f ca="1">SUM(dqa22_)</f>
        <v>15.241797966900299</v>
      </c>
      <c r="I36" s="11">
        <f ca="1">SUM(dqa23_)</f>
        <v>284.7466686004035</v>
      </c>
      <c r="J36" s="8" t="s">
        <v>63</v>
      </c>
      <c r="K36">
        <f t="shared" ref="K36:AI36" ca="1" si="27">flt2_*qa2_+lz*wa*flt2_^2/za*(sa-oa/za)</f>
        <v>1.8982770631882515E-7</v>
      </c>
      <c r="L36">
        <f t="shared" ca="1" si="27"/>
        <v>2.0569201745381332E-4</v>
      </c>
      <c r="M36">
        <f t="shared" ca="1" si="27"/>
        <v>2.9651114335169638E-2</v>
      </c>
      <c r="N36">
        <f t="shared" ca="1" si="27"/>
        <v>0.16887083656711227</v>
      </c>
      <c r="O36">
        <f t="shared" ca="1" si="27"/>
        <v>0.28952005363867361</v>
      </c>
      <c r="P36">
        <f t="shared" ca="1" si="27"/>
        <v>0.39364460230333376</v>
      </c>
      <c r="Q36">
        <f t="shared" ca="1" si="27"/>
        <v>0.4864638507251775</v>
      </c>
      <c r="R36">
        <f t="shared" ca="1" si="27"/>
        <v>0.5637148760060211</v>
      </c>
      <c r="S36">
        <f t="shared" ca="1" si="27"/>
        <v>0.62340278793528014</v>
      </c>
      <c r="T36">
        <f t="shared" ca="1" si="27"/>
        <v>0.66280623351111234</v>
      </c>
      <c r="U36">
        <f t="shared" ca="1" si="27"/>
        <v>0.68210917954273997</v>
      </c>
      <c r="V36">
        <f t="shared" ca="1" si="27"/>
        <v>0.68310608279299279</v>
      </c>
      <c r="W36">
        <f t="shared" ca="1" si="27"/>
        <v>0.66804831596790659</v>
      </c>
      <c r="X36">
        <f t="shared" ca="1" si="27"/>
        <v>0.63887126482679346</v>
      </c>
      <c r="Y36">
        <f t="shared" ca="1" si="27"/>
        <v>0.5973460812755873</v>
      </c>
      <c r="Z36">
        <f t="shared" ca="1" si="27"/>
        <v>0.64934598944977329</v>
      </c>
      <c r="AA36">
        <f t="shared" ca="1" si="27"/>
        <v>0.69771574384910562</v>
      </c>
      <c r="AB36">
        <f t="shared" ca="1" si="27"/>
        <v>0.74760711845925931</v>
      </c>
      <c r="AC36">
        <f t="shared" ca="1" si="27"/>
        <v>0.8000225670392257</v>
      </c>
      <c r="AD36">
        <f t="shared" ca="1" si="27"/>
        <v>0.8531758341130613</v>
      </c>
      <c r="AE36">
        <f t="shared" ca="1" si="27"/>
        <v>0.90540470856684885</v>
      </c>
      <c r="AF36">
        <f t="shared" ca="1" si="27"/>
        <v>0.95581445911746721</v>
      </c>
      <c r="AG36">
        <f t="shared" ca="1" si="27"/>
        <v>1.0040221184785441</v>
      </c>
      <c r="AH36">
        <f t="shared" ca="1" si="27"/>
        <v>1.0498968643612436</v>
      </c>
      <c r="AI36">
        <f t="shared" ca="1" si="27"/>
        <v>1.0910314021927083</v>
      </c>
    </row>
    <row r="37" spans="1:35">
      <c r="A37" t="s">
        <v>34</v>
      </c>
      <c r="B37" s="1">
        <f ca="1">SUMPRODUCT(lz,ta2_)</f>
        <v>1.2062988049315262</v>
      </c>
      <c r="C37" s="29">
        <f ca="1">B12/(phi_t2/SUM(B$36:B$38))</f>
        <v>1.240779987011368</v>
      </c>
      <c r="E37" s="38">
        <f ca="1">C37/AVERAGE(C$36:C$38)</f>
        <v>0.64148632812521222</v>
      </c>
      <c r="G37" s="1">
        <f ca="1">SUM(dqa31_)</f>
        <v>285.27948459221255</v>
      </c>
      <c r="H37" s="1">
        <f ca="1">SUM(dqa32_)</f>
        <v>284.7466686004035</v>
      </c>
      <c r="I37" s="1">
        <f ca="1">SUM(dqa33_)</f>
        <v>167.59473430756134</v>
      </c>
      <c r="J37" s="8" t="s">
        <v>64</v>
      </c>
      <c r="K37">
        <f t="shared" ref="K37:AI37" ca="1" si="28">flt3_*qa3_+lz*wa*flt3_^2/za*(sa-oa/za)</f>
        <v>1.2352681847816849E-11</v>
      </c>
      <c r="L37">
        <f t="shared" ca="1" si="28"/>
        <v>1.02788069070716E-9</v>
      </c>
      <c r="M37">
        <f t="shared" ca="1" si="28"/>
        <v>4.0169514128395199E-8</v>
      </c>
      <c r="N37">
        <f t="shared" ca="1" si="28"/>
        <v>1.1122576010039848E-6</v>
      </c>
      <c r="O37">
        <f t="shared" ca="1" si="28"/>
        <v>2.586934602350106E-5</v>
      </c>
      <c r="P37">
        <f t="shared" ca="1" si="28"/>
        <v>3.4777477544781586E-3</v>
      </c>
      <c r="Q37">
        <f t="shared" ca="1" si="28"/>
        <v>1.2516056009465211</v>
      </c>
      <c r="R37">
        <f t="shared" ca="1" si="28"/>
        <v>5.6029199934088201</v>
      </c>
      <c r="S37">
        <f t="shared" ca="1" si="28"/>
        <v>8.280059926333827</v>
      </c>
      <c r="T37">
        <f t="shared" ca="1" si="28"/>
        <v>9.2179510286706634</v>
      </c>
      <c r="U37">
        <f t="shared" ca="1" si="28"/>
        <v>9.3050381545762608</v>
      </c>
      <c r="V37">
        <f t="shared" ca="1" si="28"/>
        <v>8.9882096237530806</v>
      </c>
      <c r="W37">
        <f t="shared" ca="1" si="28"/>
        <v>8.4425113764314688</v>
      </c>
      <c r="X37">
        <f t="shared" ca="1" si="28"/>
        <v>7.7462811409071897</v>
      </c>
      <c r="Y37">
        <f t="shared" ca="1" si="28"/>
        <v>6.9471393786242714</v>
      </c>
      <c r="Z37">
        <f t="shared" ca="1" si="28"/>
        <v>7.5518986983645302</v>
      </c>
      <c r="AA37">
        <f t="shared" ca="1" si="28"/>
        <v>8.1144393026393864</v>
      </c>
      <c r="AB37">
        <f t="shared" ca="1" si="28"/>
        <v>8.6946763613102149</v>
      </c>
      <c r="AC37">
        <f t="shared" ca="1" si="28"/>
        <v>9.3042684190676805</v>
      </c>
      <c r="AD37">
        <f t="shared" ca="1" si="28"/>
        <v>9.9224413114094876</v>
      </c>
      <c r="AE37">
        <f t="shared" ca="1" si="28"/>
        <v>10.529863510688521</v>
      </c>
      <c r="AF37">
        <f t="shared" ca="1" si="28"/>
        <v>11.116129285411601</v>
      </c>
      <c r="AG37">
        <f t="shared" ca="1" si="28"/>
        <v>11.676784723183081</v>
      </c>
      <c r="AH37">
        <f t="shared" ca="1" si="28"/>
        <v>12.210308359808483</v>
      </c>
      <c r="AI37">
        <f t="shared" ca="1" si="28"/>
        <v>12.688703341458387</v>
      </c>
    </row>
    <row r="38" spans="1:35">
      <c r="A38" t="s">
        <v>35</v>
      </c>
      <c r="B38" s="1">
        <f ca="1">SUMPRODUCT(lz,ta3_)</f>
        <v>1.3839685715047285</v>
      </c>
      <c r="C38" s="29">
        <f ca="1">B13/(phi_t3/SUM(B$36:B$38))</f>
        <v>0.36627263198066151</v>
      </c>
      <c r="E38" s="38">
        <f ca="1">C38/AVERAGE(C$36:C$38)</f>
        <v>0.18936385841294123</v>
      </c>
      <c r="G38" t="s">
        <v>69</v>
      </c>
      <c r="J38" s="8" t="s">
        <v>60</v>
      </c>
      <c r="K38">
        <f t="shared" ref="K38:AI38" ca="1" si="29">flt1_*qa1_+lz*wa*flt2_*flt1_/za*(sa-oa/za)</f>
        <v>-7.203836796067475E-12</v>
      </c>
      <c r="L38">
        <f t="shared" ca="1" si="29"/>
        <v>-1.1724239294082225E-9</v>
      </c>
      <c r="M38">
        <f t="shared" ca="1" si="29"/>
        <v>-4.8864218734578024E-8</v>
      </c>
      <c r="N38">
        <f t="shared" ca="1" si="29"/>
        <v>-3.4430689748442641E-7</v>
      </c>
      <c r="O38">
        <f t="shared" ca="1" si="29"/>
        <v>-1.2306493826076592E-6</v>
      </c>
      <c r="P38">
        <f t="shared" ca="1" si="29"/>
        <v>-5.1735242347827136E-6</v>
      </c>
      <c r="Q38">
        <f t="shared" ca="1" si="29"/>
        <v>-5.1178786963308643E-5</v>
      </c>
      <c r="R38">
        <f t="shared" ca="1" si="29"/>
        <v>-1.6150425170721847E-4</v>
      </c>
      <c r="S38">
        <f t="shared" ca="1" si="29"/>
        <v>-3.9207508117156668E-4</v>
      </c>
      <c r="T38">
        <f t="shared" ca="1" si="29"/>
        <v>-8.5183072013255464E-4</v>
      </c>
      <c r="U38">
        <f t="shared" ca="1" si="29"/>
        <v>-1.3111080547381603E-3</v>
      </c>
      <c r="V38">
        <f t="shared" ca="1" si="29"/>
        <v>2.0144659425846275E-3</v>
      </c>
      <c r="W38">
        <f t="shared" ca="1" si="29"/>
        <v>3.9061383844433695E-2</v>
      </c>
      <c r="X38">
        <f t="shared" ca="1" si="29"/>
        <v>0.29331779506195843</v>
      </c>
      <c r="Y38">
        <f t="shared" ca="1" si="29"/>
        <v>1.5642670453910303</v>
      </c>
      <c r="Z38">
        <f t="shared" ca="1" si="29"/>
        <v>5.6399802048038508</v>
      </c>
      <c r="AA38">
        <f t="shared" ca="1" si="29"/>
        <v>13.041471408788537</v>
      </c>
      <c r="AB38">
        <f t="shared" ca="1" si="29"/>
        <v>20.86328587135591</v>
      </c>
      <c r="AC38">
        <f t="shared" ca="1" si="29"/>
        <v>26.726442636869923</v>
      </c>
      <c r="AD38">
        <f t="shared" ca="1" si="29"/>
        <v>30.684458655503615</v>
      </c>
      <c r="AE38">
        <f t="shared" ca="1" si="29"/>
        <v>33.512043244529487</v>
      </c>
      <c r="AF38">
        <f t="shared" ca="1" si="29"/>
        <v>35.75996471033023</v>
      </c>
      <c r="AG38">
        <f t="shared" ca="1" si="29"/>
        <v>37.706622415801483</v>
      </c>
      <c r="AH38">
        <f t="shared" ca="1" si="29"/>
        <v>39.4770085558307</v>
      </c>
      <c r="AI38">
        <f t="shared" ca="1" si="29"/>
        <v>41.110288320918457</v>
      </c>
    </row>
    <row r="39" spans="1:35">
      <c r="A39" s="1" t="s">
        <v>36</v>
      </c>
      <c r="B39" s="1">
        <f ca="1">SUMPRODUCT(lz,qa1_)</f>
        <v>6.0263541352799939</v>
      </c>
      <c r="C39" s="23">
        <f ca="1">B4/(phi_q1/SUM(B$39:B$41))</f>
        <v>3.3258141895798778</v>
      </c>
      <c r="D39" s="21"/>
      <c r="E39" s="39">
        <f ca="1">C39/AVERAGE(C$39:C$41)</f>
        <v>2.1690729876059649</v>
      </c>
      <c r="G39" s="1">
        <f ca="1">re*phi_q1+f1_*phi_q1*$H31+f1_*re*G35</f>
        <v>1416595.8859319659</v>
      </c>
      <c r="H39" s="1">
        <f ca="1">re*phi_q1+f1_*phi_q1*$H32+f1_*re*H35</f>
        <v>1409238.9488298525</v>
      </c>
      <c r="I39" s="1">
        <f ca="1">re*phi_q1+f1_*phi_q1*$H33+f1_*re*I35</f>
        <v>1384544.809812441</v>
      </c>
      <c r="J39" s="8" t="s">
        <v>66</v>
      </c>
      <c r="K39">
        <f t="shared" ref="K39:AI39" ca="1" si="30">flt1_*qa1_+lz*wa*flt3_*flt1_/za*(sa-oa/za)</f>
        <v>-5.752693076740936E-14</v>
      </c>
      <c r="L39">
        <f t="shared" ca="1" si="30"/>
        <v>-2.5988636151554983E-12</v>
      </c>
      <c r="M39">
        <f t="shared" ca="1" si="30"/>
        <v>-5.6475139541542746E-11</v>
      </c>
      <c r="N39">
        <f t="shared" ca="1" si="30"/>
        <v>-8.7833804838420502E-10</v>
      </c>
      <c r="O39">
        <f t="shared" ca="1" si="30"/>
        <v>-1.1573191926412375E-8</v>
      </c>
      <c r="P39">
        <f t="shared" ca="1" si="30"/>
        <v>-4.8521225232995163E-7</v>
      </c>
      <c r="Q39">
        <f t="shared" ca="1" si="30"/>
        <v>-8.2175309597490865E-5</v>
      </c>
      <c r="R39">
        <f t="shared" ca="1" si="30"/>
        <v>-5.1307005431647115E-4</v>
      </c>
      <c r="S39">
        <f t="shared" ca="1" si="30"/>
        <v>-1.4694145993255909E-3</v>
      </c>
      <c r="T39">
        <f t="shared" ca="1" si="30"/>
        <v>-3.5126299678489474E-3</v>
      </c>
      <c r="U39">
        <f t="shared" ca="1" si="30"/>
        <v>-7.4151718036910407E-3</v>
      </c>
      <c r="V39">
        <f t="shared" ca="1" si="30"/>
        <v>-1.1421681378801347E-2</v>
      </c>
      <c r="W39">
        <f t="shared" ca="1" si="30"/>
        <v>1.075620399989613E-2</v>
      </c>
      <c r="X39">
        <f t="shared" ca="1" si="30"/>
        <v>0.23785727774079499</v>
      </c>
      <c r="Y39">
        <f t="shared" ca="1" si="30"/>
        <v>1.4692836245555794</v>
      </c>
      <c r="Z39">
        <f t="shared" ca="1" si="30"/>
        <v>5.4937195891861288</v>
      </c>
      <c r="AA39">
        <f t="shared" ca="1" si="30"/>
        <v>12.869894688291874</v>
      </c>
      <c r="AB39">
        <f t="shared" ca="1" si="30"/>
        <v>20.703611862172629</v>
      </c>
      <c r="AC39">
        <f t="shared" ca="1" si="30"/>
        <v>26.597654868743692</v>
      </c>
      <c r="AD39">
        <f t="shared" ca="1" si="30"/>
        <v>30.587836883086304</v>
      </c>
      <c r="AE39">
        <f t="shared" ca="1" si="30"/>
        <v>33.441990662255499</v>
      </c>
      <c r="AF39">
        <f t="shared" ca="1" si="30"/>
        <v>35.710022191748052</v>
      </c>
      <c r="AG39">
        <f t="shared" ca="1" si="30"/>
        <v>37.671348004748793</v>
      </c>
      <c r="AH39">
        <f t="shared" ca="1" si="30"/>
        <v>39.45224537291643</v>
      </c>
      <c r="AI39">
        <f t="shared" ca="1" si="30"/>
        <v>41.05767800360335</v>
      </c>
    </row>
    <row r="40" spans="1:35">
      <c r="A40" s="1" t="s">
        <v>37</v>
      </c>
      <c r="B40" s="1">
        <f ca="1">SUMPRODUCT(lz,qa2_)</f>
        <v>7.5984813941812144</v>
      </c>
      <c r="C40" s="23">
        <f ca="1">B5/(phi_q2/SUM(B$39:B$41))</f>
        <v>0.98371300300965125</v>
      </c>
      <c r="D40" s="21"/>
      <c r="E40" s="39">
        <f ca="1">C40/AVERAGE(C$39:C$41)</f>
        <v>0.64157080965924862</v>
      </c>
      <c r="G40" s="1">
        <f ca="1">re*phi_q1+f1_*phi_q1*$H32+f1_*re*G36</f>
        <v>1409238.9488298525</v>
      </c>
      <c r="H40" s="1">
        <f ca="1">re*phi_q2+f2_*phi_q2*$H32+f2_*re*H36</f>
        <v>165370.83023313116</v>
      </c>
      <c r="I40" s="1">
        <f ca="1">re*phi_q3+f3_*phi_q3*$H33+f3_*re*I36</f>
        <v>496403.9039510052</v>
      </c>
      <c r="J40" s="8" t="s">
        <v>65</v>
      </c>
      <c r="K40">
        <f t="shared" ref="K40:AI40" ca="1" si="31">flt1_*qa1_+lz*wa*flt1_*flt2_/za*(sa-oa/za)</f>
        <v>-7.203836796067475E-12</v>
      </c>
      <c r="L40">
        <f t="shared" ca="1" si="31"/>
        <v>-1.1724239294082225E-9</v>
      </c>
      <c r="M40">
        <f t="shared" ca="1" si="31"/>
        <v>-4.8864218734578024E-8</v>
      </c>
      <c r="N40">
        <f t="shared" ca="1" si="31"/>
        <v>-3.4430689748442646E-7</v>
      </c>
      <c r="O40">
        <f t="shared" ca="1" si="31"/>
        <v>-1.2306493826076592E-6</v>
      </c>
      <c r="P40">
        <f t="shared" ca="1" si="31"/>
        <v>-5.1735242347827136E-6</v>
      </c>
      <c r="Q40">
        <f t="shared" ca="1" si="31"/>
        <v>-5.117878696330863E-5</v>
      </c>
      <c r="R40">
        <f t="shared" ca="1" si="31"/>
        <v>-1.6150425170721847E-4</v>
      </c>
      <c r="S40">
        <f t="shared" ca="1" si="31"/>
        <v>-3.9207508117156668E-4</v>
      </c>
      <c r="T40">
        <f t="shared" ca="1" si="31"/>
        <v>-8.5183072013255464E-4</v>
      </c>
      <c r="U40">
        <f t="shared" ca="1" si="31"/>
        <v>-1.3111080547381603E-3</v>
      </c>
      <c r="V40">
        <f t="shared" ca="1" si="31"/>
        <v>2.0144659425846267E-3</v>
      </c>
      <c r="W40">
        <f t="shared" ca="1" si="31"/>
        <v>3.9061383844433695E-2</v>
      </c>
      <c r="X40">
        <f t="shared" ca="1" si="31"/>
        <v>0.29331779506195843</v>
      </c>
      <c r="Y40">
        <f t="shared" ca="1" si="31"/>
        <v>1.5642670453910301</v>
      </c>
      <c r="Z40">
        <f t="shared" ca="1" si="31"/>
        <v>5.6399802048038508</v>
      </c>
      <c r="AA40">
        <f t="shared" ca="1" si="31"/>
        <v>13.041471408788537</v>
      </c>
      <c r="AB40">
        <f t="shared" ca="1" si="31"/>
        <v>20.86328587135591</v>
      </c>
      <c r="AC40">
        <f t="shared" ca="1" si="31"/>
        <v>26.726442636869923</v>
      </c>
      <c r="AD40">
        <f t="shared" ca="1" si="31"/>
        <v>30.684458655503615</v>
      </c>
      <c r="AE40">
        <f t="shared" ca="1" si="31"/>
        <v>33.512043244529487</v>
      </c>
      <c r="AF40">
        <f t="shared" ca="1" si="31"/>
        <v>35.75996471033023</v>
      </c>
      <c r="AG40">
        <f t="shared" ca="1" si="31"/>
        <v>37.706622415801483</v>
      </c>
      <c r="AH40">
        <f t="shared" ca="1" si="31"/>
        <v>39.4770085558307</v>
      </c>
      <c r="AI40">
        <f t="shared" ca="1" si="31"/>
        <v>41.110288320918457</v>
      </c>
    </row>
    <row r="41" spans="1:35">
      <c r="A41" s="1" t="s">
        <v>38</v>
      </c>
      <c r="B41" s="1">
        <f ca="1">SUMPRODUCT(lz,qa3_)</f>
        <v>19.576103260701984</v>
      </c>
      <c r="C41" s="23">
        <f ca="1">B6/(phi_q3/SUM(B$39:B$41))</f>
        <v>0.2903376463303779</v>
      </c>
      <c r="D41" s="21"/>
      <c r="E41" s="39">
        <f ca="1">C41/AVERAGE(C$39:C$41)</f>
        <v>0.18935620273478646</v>
      </c>
      <c r="G41" s="1">
        <f ca="1">re*phi_q1+f1_*phi_q1*$H33+f1_*re*G37</f>
        <v>1384544.809812441</v>
      </c>
      <c r="H41" s="1">
        <f ca="1">re*phi_q3+f3_*phi_q3*$H33+f3_*re*H37</f>
        <v>496403.9039510052</v>
      </c>
      <c r="I41" s="1">
        <f ca="1">re*phi_q3+f1_*phi_q3*$H33+f3_*re*I37</f>
        <v>324899.65600122273</v>
      </c>
      <c r="J41" s="8" t="s">
        <v>67</v>
      </c>
      <c r="K41">
        <f t="shared" ref="K41:AI41" ca="1" si="32">flt1_*qa1_+lz*wa*flt3_*flt2_/za*(sa-oa/za)</f>
        <v>-1.4565385046841319E-9</v>
      </c>
      <c r="L41">
        <f t="shared" ca="1" si="32"/>
        <v>-3.320752823930834E-7</v>
      </c>
      <c r="M41">
        <f t="shared" ca="1" si="32"/>
        <v>-1.9344631076002568E-5</v>
      </c>
      <c r="N41">
        <f t="shared" ca="1" si="32"/>
        <v>-1.8888001370137483E-4</v>
      </c>
      <c r="O41">
        <f t="shared" ca="1" si="32"/>
        <v>-9.3377280839747768E-4</v>
      </c>
      <c r="P41">
        <f t="shared" ca="1" si="32"/>
        <v>-1.0038859761706768E-2</v>
      </c>
      <c r="Q41">
        <f t="shared" ca="1" si="32"/>
        <v>-0.17015200428033289</v>
      </c>
      <c r="R41">
        <f t="shared" ca="1" si="32"/>
        <v>-0.31127502294323539</v>
      </c>
      <c r="S41">
        <f t="shared" ca="1" si="32"/>
        <v>-0.31987118364367828</v>
      </c>
      <c r="T41">
        <f t="shared" ca="1" si="32"/>
        <v>-0.28146451490568392</v>
      </c>
      <c r="U41">
        <f t="shared" ca="1" si="32"/>
        <v>-0.23287788516866151</v>
      </c>
      <c r="V41">
        <f t="shared" ca="1" si="32"/>
        <v>-0.18123831189721257</v>
      </c>
      <c r="W41">
        <f t="shared" ca="1" si="32"/>
        <v>-9.8033949680726651E-2</v>
      </c>
      <c r="X41">
        <f t="shared" ca="1" si="32"/>
        <v>0.20218576756270412</v>
      </c>
      <c r="Y41">
        <f t="shared" ca="1" si="32"/>
        <v>1.5199858090032194</v>
      </c>
      <c r="Z41">
        <f t="shared" ca="1" si="32"/>
        <v>5.6297087050683974</v>
      </c>
      <c r="AA41">
        <f t="shared" ca="1" si="32"/>
        <v>13.055995684018663</v>
      </c>
      <c r="AB41">
        <f t="shared" ca="1" si="32"/>
        <v>20.886475304800417</v>
      </c>
      <c r="AC41">
        <f t="shared" ca="1" si="32"/>
        <v>26.748197856731696</v>
      </c>
      <c r="AD41">
        <f t="shared" ca="1" si="32"/>
        <v>30.701675597401572</v>
      </c>
      <c r="AE41">
        <f t="shared" ca="1" si="32"/>
        <v>33.524779647477338</v>
      </c>
      <c r="AF41">
        <f t="shared" ca="1" si="32"/>
        <v>35.769115568991516</v>
      </c>
      <c r="AG41">
        <f t="shared" ca="1" si="32"/>
        <v>37.713105156390434</v>
      </c>
      <c r="AH41">
        <f t="shared" ca="1" si="32"/>
        <v>39.481564858397341</v>
      </c>
      <c r="AI41">
        <f t="shared" ca="1" si="32"/>
        <v>41.119972707826463</v>
      </c>
    </row>
    <row r="42" spans="1:35">
      <c r="A42" s="1" t="s">
        <v>96</v>
      </c>
      <c r="B42" s="1">
        <f ca="1">SUMPRODUCT(lz/SUM(lz),len,ta1_)</f>
        <v>4.3875425757084248</v>
      </c>
      <c r="J42" s="8" t="s">
        <v>68</v>
      </c>
      <c r="K42">
        <f t="shared" ref="K42:AI42" ca="1" si="33">flt1_*qa1_+lz*wa*flt1_*flt3_/za*(sa-oa/za)</f>
        <v>-5.752693076740936E-14</v>
      </c>
      <c r="L42">
        <f t="shared" ca="1" si="33"/>
        <v>-2.5988636151554983E-12</v>
      </c>
      <c r="M42">
        <f t="shared" ca="1" si="33"/>
        <v>-5.6475139541542753E-11</v>
      </c>
      <c r="N42">
        <f t="shared" ca="1" si="33"/>
        <v>-8.7833804838420523E-10</v>
      </c>
      <c r="O42">
        <f t="shared" ca="1" si="33"/>
        <v>-1.1573191926412375E-8</v>
      </c>
      <c r="P42">
        <f t="shared" ca="1" si="33"/>
        <v>-4.8521225232995174E-7</v>
      </c>
      <c r="Q42">
        <f t="shared" ca="1" si="33"/>
        <v>-8.2175309597490838E-5</v>
      </c>
      <c r="R42">
        <f t="shared" ca="1" si="33"/>
        <v>-5.1307005431647104E-4</v>
      </c>
      <c r="S42">
        <f t="shared" ca="1" si="33"/>
        <v>-1.4694145993255914E-3</v>
      </c>
      <c r="T42">
        <f t="shared" ca="1" si="33"/>
        <v>-3.5126299678489474E-3</v>
      </c>
      <c r="U42">
        <f t="shared" ca="1" si="33"/>
        <v>-7.4151718036910407E-3</v>
      </c>
      <c r="V42">
        <f t="shared" ca="1" si="33"/>
        <v>-1.1421681378801347E-2</v>
      </c>
      <c r="W42">
        <f t="shared" ca="1" si="33"/>
        <v>1.075620399989613E-2</v>
      </c>
      <c r="X42">
        <f t="shared" ca="1" si="33"/>
        <v>0.23785727774079499</v>
      </c>
      <c r="Y42">
        <f t="shared" ca="1" si="33"/>
        <v>1.4692836245555794</v>
      </c>
      <c r="Z42">
        <f t="shared" ca="1" si="33"/>
        <v>5.4937195891861288</v>
      </c>
      <c r="AA42">
        <f t="shared" ca="1" si="33"/>
        <v>12.869894688291874</v>
      </c>
      <c r="AB42">
        <f t="shared" ca="1" si="33"/>
        <v>20.703611862172629</v>
      </c>
      <c r="AC42">
        <f t="shared" ca="1" si="33"/>
        <v>26.597654868743692</v>
      </c>
      <c r="AD42">
        <f t="shared" ca="1" si="33"/>
        <v>30.587836883086304</v>
      </c>
      <c r="AE42">
        <f t="shared" ca="1" si="33"/>
        <v>33.441990662255499</v>
      </c>
      <c r="AF42">
        <f t="shared" ca="1" si="33"/>
        <v>35.710022191748052</v>
      </c>
      <c r="AG42">
        <f t="shared" ca="1" si="33"/>
        <v>37.671348004748793</v>
      </c>
      <c r="AH42">
        <f t="shared" ca="1" si="33"/>
        <v>39.45224537291643</v>
      </c>
      <c r="AI42">
        <f t="shared" ca="1" si="33"/>
        <v>41.05767800360335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-1.4565385046841316E-9</v>
      </c>
      <c r="L43">
        <f t="shared" ca="1" si="34"/>
        <v>-3.3207528239308335E-7</v>
      </c>
      <c r="M43">
        <f t="shared" ca="1" si="34"/>
        <v>-1.9344631076002571E-5</v>
      </c>
      <c r="N43">
        <f t="shared" ca="1" si="34"/>
        <v>-1.8888001370137483E-4</v>
      </c>
      <c r="O43">
        <f t="shared" ca="1" si="34"/>
        <v>-9.3377280839747768E-4</v>
      </c>
      <c r="P43">
        <f t="shared" ca="1" si="34"/>
        <v>-1.0038859761706768E-2</v>
      </c>
      <c r="Q43">
        <f t="shared" ca="1" si="34"/>
        <v>-0.17015200428033295</v>
      </c>
      <c r="R43">
        <f t="shared" ca="1" si="34"/>
        <v>-0.31127502294323534</v>
      </c>
      <c r="S43">
        <f t="shared" ca="1" si="34"/>
        <v>-0.31987118364367828</v>
      </c>
      <c r="T43">
        <f t="shared" ca="1" si="34"/>
        <v>-0.28146451490568392</v>
      </c>
      <c r="U43">
        <f t="shared" ca="1" si="34"/>
        <v>-0.23287788516866156</v>
      </c>
      <c r="V43">
        <f t="shared" ca="1" si="34"/>
        <v>-0.18123831189721254</v>
      </c>
      <c r="W43">
        <f t="shared" ca="1" si="34"/>
        <v>-9.8033949680726651E-2</v>
      </c>
      <c r="X43">
        <f t="shared" ca="1" si="34"/>
        <v>0.20218576756270412</v>
      </c>
      <c r="Y43">
        <f t="shared" ca="1" si="34"/>
        <v>1.5199858090032194</v>
      </c>
      <c r="Z43">
        <f t="shared" ca="1" si="34"/>
        <v>5.6297087050683974</v>
      </c>
      <c r="AA43">
        <f t="shared" ca="1" si="34"/>
        <v>13.055995684018663</v>
      </c>
      <c r="AB43">
        <f t="shared" ca="1" si="34"/>
        <v>20.886475304800417</v>
      </c>
      <c r="AC43">
        <f t="shared" ca="1" si="34"/>
        <v>26.748197856731696</v>
      </c>
      <c r="AD43">
        <f t="shared" ca="1" si="34"/>
        <v>30.701675597401572</v>
      </c>
      <c r="AE43">
        <f t="shared" ca="1" si="34"/>
        <v>33.524779647477338</v>
      </c>
      <c r="AF43">
        <f t="shared" ca="1" si="34"/>
        <v>35.769115568991516</v>
      </c>
      <c r="AG43">
        <f t="shared" ca="1" si="34"/>
        <v>37.713105156390434</v>
      </c>
      <c r="AH43">
        <f t="shared" ca="1" si="34"/>
        <v>39.481564858397341</v>
      </c>
      <c r="AI43">
        <f t="shared" ca="1" si="34"/>
        <v>41.119972707826463</v>
      </c>
    </row>
    <row r="45" spans="1:35">
      <c r="A45" s="15" t="s">
        <v>39</v>
      </c>
      <c r="B45" s="16"/>
      <c r="C45" s="16"/>
      <c r="J45" s="2" t="s">
        <v>87</v>
      </c>
    </row>
    <row r="46" spans="1:35" ht="19" thickBot="1">
      <c r="A46" s="1" t="s">
        <v>40</v>
      </c>
      <c r="B46" s="1">
        <f ca="1">phif/phie</f>
        <v>0.40000000000040775</v>
      </c>
      <c r="G46" s="32" t="s">
        <v>94</v>
      </c>
      <c r="H46" s="32"/>
      <c r="I46" s="32"/>
      <c r="J46" s="8" t="s">
        <v>75</v>
      </c>
      <c r="K46">
        <f t="shared" ref="K46:AI46" ca="1" si="35">lz*qa1_</f>
        <v>5.2944612273367152E-9</v>
      </c>
      <c r="L46">
        <f t="shared" ca="1" si="35"/>
        <v>6.6688999542074595E-8</v>
      </c>
      <c r="M46">
        <f t="shared" ca="1" si="35"/>
        <v>4.0596272117762338E-7</v>
      </c>
      <c r="N46">
        <f t="shared" ca="1" si="35"/>
        <v>1.7832529234773278E-6</v>
      </c>
      <c r="O46">
        <f t="shared" ca="1" si="35"/>
        <v>6.5851682076560283E-6</v>
      </c>
      <c r="P46">
        <f t="shared" ca="1" si="35"/>
        <v>3.0134403602485119E-5</v>
      </c>
      <c r="Q46">
        <f t="shared" ca="1" si="35"/>
        <v>3.2605214560497059E-4</v>
      </c>
      <c r="R46">
        <f t="shared" ca="1" si="35"/>
        <v>1.1321497844720794E-3</v>
      </c>
      <c r="S46">
        <f t="shared" ca="1" si="35"/>
        <v>3.077740111006901E-3</v>
      </c>
      <c r="T46">
        <f t="shared" ca="1" si="35"/>
        <v>8.0237870165894704E-3</v>
      </c>
      <c r="U46">
        <f t="shared" ca="1" si="35"/>
        <v>2.0321103148239691E-2</v>
      </c>
      <c r="V46">
        <f t="shared" ca="1" si="35"/>
        <v>4.9974803346819897E-2</v>
      </c>
      <c r="W46">
        <f t="shared" ca="1" si="35"/>
        <v>0.11807847203092335</v>
      </c>
      <c r="X46">
        <f t="shared" ca="1" si="35"/>
        <v>0.26015317182825459</v>
      </c>
      <c r="Y46">
        <f t="shared" ca="1" si="35"/>
        <v>0.50260319565432454</v>
      </c>
      <c r="Z46">
        <f t="shared" ca="1" si="35"/>
        <v>0.78047849363050636</v>
      </c>
      <c r="AA46">
        <f t="shared" ca="1" si="35"/>
        <v>0.92370873251116037</v>
      </c>
      <c r="AB46">
        <f t="shared" ca="1" si="35"/>
        <v>0.86503130996972022</v>
      </c>
      <c r="AC46">
        <f t="shared" ca="1" si="35"/>
        <v>0.70001358958060356</v>
      </c>
      <c r="AD46">
        <f t="shared" ca="1" si="35"/>
        <v>0.52595316469240216</v>
      </c>
      <c r="AE46">
        <f t="shared" ca="1" si="35"/>
        <v>0.38155803427460533</v>
      </c>
      <c r="AF46">
        <f t="shared" ca="1" si="35"/>
        <v>0.27208994289606814</v>
      </c>
      <c r="AG46">
        <f t="shared" ca="1" si="35"/>
        <v>0.19219557378598562</v>
      </c>
      <c r="AH46">
        <f t="shared" ca="1" si="35"/>
        <v>0.13492930620113541</v>
      </c>
      <c r="AI46">
        <f t="shared" ca="1" si="35"/>
        <v>0.28666653190065527</v>
      </c>
    </row>
    <row r="47" spans="1:35" ht="19" thickTop="1">
      <c r="A47" s="1" t="s">
        <v>41</v>
      </c>
      <c r="B47" s="11">
        <f ca="1">MAX(0,Ro*(reck-1/spr)/(reck-1))</f>
        <v>20157.703453400296</v>
      </c>
      <c r="F47" t="s">
        <v>84</v>
      </c>
      <c r="G47" s="31">
        <f ca="1">G39/G53</f>
        <v>1</v>
      </c>
      <c r="H47" s="31">
        <f ca="1">H53/H39</f>
        <v>0.34345338708312434</v>
      </c>
      <c r="I47" s="31">
        <f ca="1">I53/I39</f>
        <v>0.48999381475019316</v>
      </c>
      <c r="J47" s="8" t="s">
        <v>76</v>
      </c>
      <c r="K47">
        <f t="shared" ref="K47:AI47" ca="1" si="36">lz*qa2_</f>
        <v>1.3269167516722562E-4</v>
      </c>
      <c r="L47">
        <f t="shared" ca="1" si="36"/>
        <v>8.4495834388760901E-3</v>
      </c>
      <c r="M47">
        <f t="shared" ca="1" si="36"/>
        <v>0.13807794714104119</v>
      </c>
      <c r="N47">
        <f t="shared" ca="1" si="36"/>
        <v>0.38117216765449052</v>
      </c>
      <c r="O47">
        <f t="shared" ca="1" si="36"/>
        <v>0.52856587020908763</v>
      </c>
      <c r="P47">
        <f t="shared" ca="1" si="36"/>
        <v>0.62196372512348408</v>
      </c>
      <c r="Q47">
        <f t="shared" ca="1" si="36"/>
        <v>0.67398599248310065</v>
      </c>
      <c r="R47">
        <f t="shared" ca="1" si="36"/>
        <v>0.68445125284078845</v>
      </c>
      <c r="S47">
        <f t="shared" ca="1" si="36"/>
        <v>0.66309961726943079</v>
      </c>
      <c r="T47">
        <f t="shared" ca="1" si="36"/>
        <v>0.62144615692324623</v>
      </c>
      <c r="U47">
        <f t="shared" ca="1" si="36"/>
        <v>0.56768936060377728</v>
      </c>
      <c r="V47">
        <f t="shared" ca="1" si="36"/>
        <v>0.5074696310463741</v>
      </c>
      <c r="W47">
        <f t="shared" ca="1" si="36"/>
        <v>0.44424746758572675</v>
      </c>
      <c r="X47">
        <f t="shared" ca="1" si="36"/>
        <v>0.3794267425320218</v>
      </c>
      <c r="Y47">
        <f t="shared" ca="1" si="36"/>
        <v>0.31298432678565591</v>
      </c>
      <c r="Z47">
        <f t="shared" ca="1" si="36"/>
        <v>0.26759923578741113</v>
      </c>
      <c r="AA47">
        <f t="shared" ca="1" si="36"/>
        <v>0.21559531193170142</v>
      </c>
      <c r="AB47">
        <f t="shared" ca="1" si="36"/>
        <v>0.16486383806910235</v>
      </c>
      <c r="AC47">
        <f t="shared" ca="1" si="36"/>
        <v>0.12169143774072669</v>
      </c>
      <c r="AD47">
        <f t="shared" ca="1" si="36"/>
        <v>8.7988072354652294E-2</v>
      </c>
      <c r="AE47">
        <f t="shared" ca="1" si="36"/>
        <v>6.2854811640680228E-2</v>
      </c>
      <c r="AF47">
        <f t="shared" ca="1" si="36"/>
        <v>4.4549655408136053E-2</v>
      </c>
      <c r="AG47">
        <f t="shared" ca="1" si="36"/>
        <v>3.1393398734857199E-2</v>
      </c>
      <c r="AH47">
        <f t="shared" ca="1" si="36"/>
        <v>2.2018994017589465E-2</v>
      </c>
      <c r="AI47">
        <f t="shared" ca="1" si="36"/>
        <v>4.6764105184088613E-2</v>
      </c>
    </row>
    <row r="48" spans="1:35">
      <c r="A48" s="1" t="s">
        <v>43</v>
      </c>
      <c r="B48" s="1">
        <f ca="1">f1_*re*phi_q1</f>
        <v>27570.119180606842</v>
      </c>
      <c r="C48" s="20">
        <f ca="1">ye_1/SUM(ye_1,ye_2,ye_3)</f>
        <v>0.60369590821877628</v>
      </c>
      <c r="F48" t="s">
        <v>85</v>
      </c>
      <c r="G48" s="31">
        <f ca="1">G40/G54</f>
        <v>2.911603255663846</v>
      </c>
      <c r="H48" s="31">
        <f t="shared" ref="H48:I49" ca="1" si="37">H40/H54</f>
        <v>0.99999999999999978</v>
      </c>
      <c r="I48" s="31">
        <f ca="1">I54/I40</f>
        <v>0.46694839911111991</v>
      </c>
      <c r="J48" s="8" t="s">
        <v>77</v>
      </c>
      <c r="K48">
        <f t="shared" ref="K48:AI48" ca="1" si="38">lz*qa3_</f>
        <v>1.0703960672316089E-6</v>
      </c>
      <c r="L48">
        <f t="shared" ca="1" si="38"/>
        <v>1.8888520153234229E-5</v>
      </c>
      <c r="M48">
        <f t="shared" ca="1" si="38"/>
        <v>1.6071340453177078E-4</v>
      </c>
      <c r="N48">
        <f t="shared" ca="1" si="38"/>
        <v>9.7824254217723219E-4</v>
      </c>
      <c r="O48">
        <f t="shared" ca="1" si="38"/>
        <v>4.9963461246517382E-3</v>
      </c>
      <c r="P48">
        <f t="shared" ca="1" si="38"/>
        <v>5.8460421874995727E-2</v>
      </c>
      <c r="Q48">
        <f t="shared" ca="1" si="38"/>
        <v>1.0810837339947066</v>
      </c>
      <c r="R48">
        <f t="shared" ca="1" si="38"/>
        <v>2.1578437069641341</v>
      </c>
      <c r="S48">
        <f t="shared" ca="1" si="38"/>
        <v>2.4166354790416742</v>
      </c>
      <c r="T48">
        <f t="shared" ca="1" si="38"/>
        <v>2.3175409294224751</v>
      </c>
      <c r="U48">
        <f t="shared" ca="1" si="38"/>
        <v>2.0967318243828892</v>
      </c>
      <c r="V48">
        <f t="shared" ca="1" si="38"/>
        <v>1.8407829261753148</v>
      </c>
      <c r="W48">
        <f t="shared" ca="1" si="38"/>
        <v>1.5792716936675293</v>
      </c>
      <c r="X48">
        <f t="shared" ca="1" si="38"/>
        <v>1.3211979386431727</v>
      </c>
      <c r="Y48">
        <f t="shared" ca="1" si="38"/>
        <v>1.0673640879357762</v>
      </c>
      <c r="Z48">
        <f t="shared" ca="1" si="38"/>
        <v>0.91258823459919991</v>
      </c>
      <c r="AA48">
        <f t="shared" ca="1" si="38"/>
        <v>0.7352403101028252</v>
      </c>
      <c r="AB48">
        <f t="shared" ca="1" si="38"/>
        <v>0.56223179595421069</v>
      </c>
      <c r="AC48">
        <f t="shared" ca="1" si="38"/>
        <v>0.41500183663406648</v>
      </c>
      <c r="AD48">
        <f t="shared" ca="1" si="38"/>
        <v>0.30006393471059478</v>
      </c>
      <c r="AE48">
        <f t="shared" ca="1" si="38"/>
        <v>0.2143524865549413</v>
      </c>
      <c r="AF48">
        <f t="shared" ca="1" si="38"/>
        <v>0.15192678432464404</v>
      </c>
      <c r="AG48">
        <f t="shared" ca="1" si="38"/>
        <v>0.10706026960507432</v>
      </c>
      <c r="AH48">
        <f t="shared" ca="1" si="38"/>
        <v>7.5090927741384914E-2</v>
      </c>
      <c r="AI48">
        <f t="shared" ca="1" si="38"/>
        <v>0.15947867738479679</v>
      </c>
    </row>
    <row r="49" spans="1:47">
      <c r="A49" s="1" t="s">
        <v>44</v>
      </c>
      <c r="B49" s="1">
        <f ca="1">f2_*re*phi_q2</f>
        <v>10280.367871058428</v>
      </c>
      <c r="C49" s="20">
        <f ca="1">ye_2/SUM(ye_1,ye_2,ye_3)</f>
        <v>0.22510660828435133</v>
      </c>
      <c r="F49" t="s">
        <v>86</v>
      </c>
      <c r="G49" s="31">
        <f ca="1">G41/G55</f>
        <v>2.0408420879961846</v>
      </c>
      <c r="H49" s="31">
        <f t="shared" ca="1" si="37"/>
        <v>2.1415642540023563</v>
      </c>
      <c r="I49" s="31">
        <f t="shared" ca="1" si="37"/>
        <v>1</v>
      </c>
      <c r="AL49" s="31"/>
      <c r="AM49" s="31"/>
      <c r="AN49" s="31"/>
      <c r="AO49" s="31"/>
      <c r="AP49" s="31"/>
      <c r="AQ49" s="45"/>
      <c r="AU49" s="46"/>
    </row>
    <row r="50" spans="1:47">
      <c r="A50" s="1" t="s">
        <v>45</v>
      </c>
      <c r="B50" s="1">
        <f ca="1">f3_*re*phi_q3</f>
        <v>7818.3982352225312</v>
      </c>
      <c r="C50" s="20">
        <f ca="1">ye_3/SUM(ye_1,ye_2,ye_3)</f>
        <v>0.17119748349687236</v>
      </c>
      <c r="AL50" s="31"/>
      <c r="AM50" s="31"/>
      <c r="AN50" s="31"/>
      <c r="AO50" s="31"/>
      <c r="AP50" s="31"/>
      <c r="AQ50" s="45"/>
      <c r="AU50" s="46"/>
    </row>
    <row r="51" spans="1:47">
      <c r="A51" s="1" t="s">
        <v>72</v>
      </c>
      <c r="B51" s="1">
        <f ca="1">SUM(B48:B50)</f>
        <v>45668.885286887802</v>
      </c>
      <c r="G51" t="s">
        <v>70</v>
      </c>
      <c r="AL51" s="31"/>
      <c r="AM51" s="31"/>
      <c r="AN51" s="31"/>
      <c r="AO51" s="31"/>
      <c r="AP51" s="31"/>
      <c r="AQ51" s="45"/>
      <c r="AU51" s="46"/>
    </row>
    <row r="52" spans="1:47">
      <c r="A52" s="1"/>
      <c r="B52" s="1"/>
      <c r="G52" s="1">
        <f ca="1">G39^0.5</f>
        <v>1190.2083371964616</v>
      </c>
      <c r="H52" s="59">
        <f ca="1">H40^0.5</f>
        <v>406.65812451386137</v>
      </c>
      <c r="I52" s="11">
        <f ca="1">I41^0.5</f>
        <v>569.99969824660673</v>
      </c>
      <c r="AL52" s="31"/>
      <c r="AM52" s="31"/>
      <c r="AN52" s="31"/>
      <c r="AO52" s="31"/>
      <c r="AP52" s="31"/>
      <c r="AQ52" s="45"/>
      <c r="AU52" s="46"/>
    </row>
    <row r="53" spans="1:47">
      <c r="A53" s="23" t="s">
        <v>88</v>
      </c>
      <c r="B53" s="35">
        <f ca="1">f1_*phi_q1</f>
        <v>1.3677212408815442</v>
      </c>
      <c r="C53">
        <f ca="1">AVERAGE(B53:B55)/B53</f>
        <v>0.55215436910421301</v>
      </c>
      <c r="G53">
        <f ca="1">G$52*$J53</f>
        <v>1416595.8859319659</v>
      </c>
      <c r="H53">
        <f t="shared" ref="H53:I53" ca="1" si="39">H$52*$J53</f>
        <v>484007.89018507459</v>
      </c>
      <c r="I53">
        <f t="shared" ca="1" si="39"/>
        <v>678418.39305257867</v>
      </c>
      <c r="J53">
        <f t="array" aca="1" ref="J53:J55" ca="1">TRANSPOSE(G52:I52)</f>
        <v>1190.2083371964616</v>
      </c>
      <c r="AL53" s="31"/>
      <c r="AM53" s="31"/>
      <c r="AN53" s="31"/>
      <c r="AO53" s="31"/>
      <c r="AP53" s="31"/>
    </row>
    <row r="54" spans="1:47">
      <c r="A54" s="23" t="s">
        <v>89</v>
      </c>
      <c r="B54" s="35">
        <f ca="1">f2_*phi_q2</f>
        <v>0.50999697930987709</v>
      </c>
      <c r="C54">
        <f ca="1">AVERAGE(B53:B55)/B54</f>
        <v>1.4807798663656802</v>
      </c>
      <c r="G54">
        <f t="shared" ref="G54:I55" ca="1" si="40">G$52*$J54</f>
        <v>484007.89018507459</v>
      </c>
      <c r="H54">
        <f t="shared" ca="1" si="40"/>
        <v>165370.83023313119</v>
      </c>
      <c r="I54">
        <f ca="1">I$52*$J54</f>
        <v>231795.00826243201</v>
      </c>
      <c r="J54">
        <f ca="1"/>
        <v>406.65812451386137</v>
      </c>
      <c r="AL54" s="31"/>
      <c r="AM54" s="31"/>
      <c r="AN54" s="31"/>
      <c r="AO54" s="31"/>
      <c r="AP54" s="31"/>
      <c r="AQ54" s="45"/>
    </row>
    <row r="55" spans="1:47">
      <c r="A55" s="23" t="s">
        <v>90</v>
      </c>
      <c r="B55" s="35">
        <f ca="1">f3_*phi_q3</f>
        <v>0.38786155641672004</v>
      </c>
      <c r="C55">
        <f ca="1">AVERAGE(B53:B55)/B55</f>
        <v>1.9470691188017553</v>
      </c>
      <c r="G55">
        <f t="shared" ca="1" si="40"/>
        <v>678418.39305257867</v>
      </c>
      <c r="H55">
        <f t="shared" ca="1" si="40"/>
        <v>231795.00826243201</v>
      </c>
      <c r="I55">
        <f t="shared" ca="1" si="40"/>
        <v>324899.65600122273</v>
      </c>
      <c r="J55">
        <f ca="1"/>
        <v>569.99969824660673</v>
      </c>
      <c r="S55" s="33"/>
      <c r="AL55" s="31"/>
      <c r="AM55" s="31"/>
      <c r="AN55" s="31"/>
      <c r="AO55" s="31"/>
      <c r="AP55" s="31"/>
      <c r="AQ55" s="45"/>
    </row>
    <row r="56" spans="1:47">
      <c r="A56" s="29" t="s">
        <v>91</v>
      </c>
      <c r="B56" s="34">
        <f ca="1">phi_t1*f1_</f>
        <v>4.1661356313388763E-2</v>
      </c>
      <c r="C56">
        <f ca="1">AVERAGE(B56:B58)/B56</f>
        <v>1.2005261151137512</v>
      </c>
      <c r="AL56" s="31"/>
      <c r="AM56" s="31"/>
      <c r="AN56" s="31"/>
      <c r="AO56" s="31"/>
      <c r="AP56" s="31"/>
      <c r="AQ56" s="45"/>
    </row>
    <row r="57" spans="1:47">
      <c r="A57" s="29" t="s">
        <v>92</v>
      </c>
      <c r="B57" s="34">
        <f ca="1">phi_t2*f2_</f>
        <v>8.0964697384310141E-2</v>
      </c>
      <c r="C57">
        <f ca="1">AVERAGE(B56:B58)/B57</f>
        <v>0.61774511436603852</v>
      </c>
      <c r="G57">
        <f t="array" aca="1" ref="G57:I59" ca="1">MMULT($G$52:$I$52,TRANSPOSE($G$52:$I$52))</f>
        <v>1906866.3721663198</v>
      </c>
      <c r="H57">
        <f ca="1"/>
        <v>1906866.3721663198</v>
      </c>
      <c r="I57">
        <f ca="1"/>
        <v>1906866.3721663198</v>
      </c>
      <c r="AL57" s="31"/>
      <c r="AM57" s="31"/>
      <c r="AN57" s="31"/>
      <c r="AO57" s="31"/>
      <c r="AP57" s="31"/>
      <c r="AQ57" s="45"/>
    </row>
    <row r="58" spans="1:47">
      <c r="A58" s="29" t="s">
        <v>93</v>
      </c>
      <c r="B58" s="34">
        <f ca="1">phi_t3*f3_</f>
        <v>2.7420585038148183E-2</v>
      </c>
      <c r="C58">
        <f ca="1">AVERAGE(B56:B58)/B58</f>
        <v>1.824014556060694</v>
      </c>
      <c r="G58">
        <f ca="1"/>
        <v>1906866.3721663198</v>
      </c>
      <c r="H58">
        <f ca="1"/>
        <v>1906866.3721663198</v>
      </c>
      <c r="I58">
        <f ca="1"/>
        <v>1906866.3721663198</v>
      </c>
      <c r="AL58" s="31"/>
      <c r="AM58" s="31"/>
      <c r="AN58" s="31"/>
      <c r="AO58" s="31"/>
      <c r="AP58" s="31"/>
    </row>
    <row r="59" spans="1:47">
      <c r="G59">
        <f ca="1"/>
        <v>1906866.3721663198</v>
      </c>
      <c r="H59">
        <f ca="1"/>
        <v>1906866.3721663198</v>
      </c>
      <c r="I59">
        <f ca="1"/>
        <v>1906866.3721663198</v>
      </c>
      <c r="AL59" s="31"/>
      <c r="AM59" s="31"/>
      <c r="AN59" s="31"/>
      <c r="AO59" s="31"/>
      <c r="AP59" s="31"/>
    </row>
    <row r="60" spans="1:47">
      <c r="A60" s="30" t="s">
        <v>120</v>
      </c>
      <c r="B60">
        <f ca="1">ypr1/mpr1_</f>
        <v>32.829493850203768</v>
      </c>
      <c r="AL60" s="31"/>
      <c r="AM60" s="31"/>
      <c r="AN60" s="31"/>
      <c r="AO60" s="31"/>
      <c r="AP60" s="31"/>
    </row>
    <row r="61" spans="1:47">
      <c r="A61" s="30" t="s">
        <v>121</v>
      </c>
      <c r="B61">
        <f ca="1">ypr2/mpr2_</f>
        <v>6.2990043288756556</v>
      </c>
      <c r="AL61" s="31"/>
      <c r="AM61" s="31"/>
      <c r="AN61" s="31"/>
      <c r="AO61" s="31"/>
      <c r="AP61" s="31"/>
    </row>
    <row r="62" spans="1:47">
      <c r="A62" s="30" t="s">
        <v>122</v>
      </c>
      <c r="B62">
        <f ca="1">ypr3/mpr3_</f>
        <v>14.144904489715213</v>
      </c>
      <c r="AL62" s="31"/>
      <c r="AM62" s="31"/>
      <c r="AN62" s="31"/>
      <c r="AO62" s="31"/>
      <c r="AP62" s="31"/>
    </row>
    <row r="63" spans="1:47">
      <c r="AL63" s="31"/>
      <c r="AM63" s="31"/>
      <c r="AN63" s="31"/>
      <c r="AO63" s="31"/>
      <c r="AP63" s="31"/>
    </row>
    <row r="64" spans="1:47">
      <c r="AL64" s="31"/>
      <c r="AM64" s="31"/>
      <c r="AN64" s="31"/>
      <c r="AO64" s="31"/>
      <c r="AP64" s="31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opLeftCell="A6" zoomScale="125" zoomScaleNormal="125" zoomScalePageLayoutView="125" workbookViewId="0">
      <pane xSplit="10" topLeftCell="K1" activePane="topRight" state="frozen"/>
      <selection pane="topRight" activeCell="K18" sqref="K18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4" t="s">
        <v>74</v>
      </c>
      <c r="B2" s="16"/>
      <c r="C2" s="16"/>
      <c r="J2" t="s">
        <v>1</v>
      </c>
    </row>
    <row r="3" spans="1:35">
      <c r="A3" s="27" t="s">
        <v>46</v>
      </c>
      <c r="B3" s="19" t="s">
        <v>47</v>
      </c>
      <c r="C3" s="21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5">
        <v>0.33333000000000002</v>
      </c>
      <c r="C4" s="22">
        <f>ypr1/SUM(ypr1,ypr2,ypr3)</f>
        <v>0.50151347499037002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5">
        <v>0.33333000000000002</v>
      </c>
      <c r="C5" s="22">
        <f>ypr2/SUM(ypr1,ypr2,ypr3)</f>
        <v>0.22982200539914385</v>
      </c>
      <c r="J5" t="s">
        <v>3</v>
      </c>
      <c r="K5" s="9">
        <f t="shared" ref="K5:AI5" si="1">0.00001*len^3</f>
        <v>0.14133965148817215</v>
      </c>
      <c r="L5" s="9">
        <f t="shared" si="1"/>
        <v>0.82225607691892499</v>
      </c>
      <c r="M5" s="9">
        <f t="shared" si="1"/>
        <v>2.0434926573019618</v>
      </c>
      <c r="N5" s="9">
        <f t="shared" si="1"/>
        <v>3.6112119443115107</v>
      </c>
      <c r="O5" s="9">
        <f t="shared" si="1"/>
        <v>5.3226228090046082</v>
      </c>
      <c r="P5" s="9">
        <f t="shared" si="1"/>
        <v>7.0238600347751614</v>
      </c>
      <c r="Q5" s="9">
        <f t="shared" si="1"/>
        <v>8.6168967894328503</v>
      </c>
      <c r="R5" s="9">
        <f t="shared" si="1"/>
        <v>10.049320887572254</v>
      </c>
      <c r="S5" s="9">
        <f t="shared" si="1"/>
        <v>11.300877184357986</v>
      </c>
      <c r="T5" s="9">
        <f t="shared" si="1"/>
        <v>12.371761779408162</v>
      </c>
      <c r="U5" s="9">
        <f t="shared" si="1"/>
        <v>13.273892843993982</v>
      </c>
      <c r="V5" s="9">
        <f t="shared" si="1"/>
        <v>14.024960619330415</v>
      </c>
      <c r="W5" s="9">
        <f t="shared" si="1"/>
        <v>14.644645738589068</v>
      </c>
      <c r="X5" s="9">
        <f t="shared" si="1"/>
        <v>15.152380027165915</v>
      </c>
      <c r="Y5" s="9">
        <f t="shared" si="1"/>
        <v>15.566138817926092</v>
      </c>
      <c r="Z5" s="9">
        <f t="shared" si="1"/>
        <v>15.901888733219657</v>
      </c>
      <c r="AA5" s="9">
        <f t="shared" si="1"/>
        <v>16.173430950340212</v>
      </c>
      <c r="AB5" s="9">
        <f t="shared" si="1"/>
        <v>16.392468184528465</v>
      </c>
      <c r="AC5" s="9">
        <f t="shared" si="1"/>
        <v>16.568786244090365</v>
      </c>
      <c r="AD5" s="9">
        <f t="shared" si="1"/>
        <v>16.710483493528361</v>
      </c>
      <c r="AE5" s="9">
        <f t="shared" si="1"/>
        <v>16.824209395969319</v>
      </c>
      <c r="AF5" s="9">
        <f t="shared" si="1"/>
        <v>16.915390995189103</v>
      </c>
      <c r="AG5" s="9">
        <f t="shared" si="1"/>
        <v>16.988437094445764</v>
      </c>
      <c r="AH5" s="9">
        <f t="shared" si="1"/>
        <v>17.046916362081571</v>
      </c>
      <c r="AI5" s="9">
        <f t="shared" si="1"/>
        <v>17.093709254706191</v>
      </c>
    </row>
    <row r="6" spans="1:35">
      <c r="A6" s="5">
        <v>3</v>
      </c>
      <c r="B6" s="25">
        <f>1-SUM(B4:B5)</f>
        <v>0.33333999999999997</v>
      </c>
      <c r="C6" s="22">
        <f>ypr3/SUM(ypr1,ypr2,ypr3)</f>
        <v>0.26866451961048615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7" t="s">
        <v>49</v>
      </c>
      <c r="B7" s="30">
        <v>0.4</v>
      </c>
      <c r="C7" s="23">
        <f>spr</f>
        <v>0.40000041557191451</v>
      </c>
      <c r="J7" t="s">
        <v>7</v>
      </c>
      <c r="K7" s="1">
        <f>1</f>
        <v>1</v>
      </c>
      <c r="L7" s="1">
        <f>K7*EXP(-K8)</f>
        <v>0.86054415793688133</v>
      </c>
      <c r="M7" s="1">
        <f t="shared" ref="M7:AH7" si="3">L7*EXP(-L8)</f>
        <v>0.73915874319590891</v>
      </c>
      <c r="N7" s="1">
        <f t="shared" si="3"/>
        <v>0.628066272446412</v>
      </c>
      <c r="O7" s="1">
        <f t="shared" si="3"/>
        <v>0.50979818639246421</v>
      </c>
      <c r="P7" s="1">
        <f t="shared" si="3"/>
        <v>0.4085428040519124</v>
      </c>
      <c r="Q7" s="1">
        <f t="shared" si="3"/>
        <v>0.33285220354313017</v>
      </c>
      <c r="R7" s="1">
        <f t="shared" si="3"/>
        <v>0.27317852055960323</v>
      </c>
      <c r="S7" s="1">
        <f t="shared" si="3"/>
        <v>0.22001051455271572</v>
      </c>
      <c r="T7" s="1">
        <f t="shared" si="3"/>
        <v>0.17345725647293822</v>
      </c>
      <c r="U7" s="1">
        <f t="shared" si="3"/>
        <v>0.13671718634901517</v>
      </c>
      <c r="V7" s="1">
        <f t="shared" si="3"/>
        <v>0.1080446343710562</v>
      </c>
      <c r="W7" s="1">
        <f t="shared" si="3"/>
        <v>8.5577996967168238E-2</v>
      </c>
      <c r="X7" s="1">
        <f t="shared" si="3"/>
        <v>6.7902903840210638E-2</v>
      </c>
      <c r="Y7" s="1">
        <f t="shared" si="3"/>
        <v>5.3954476264730773E-2</v>
      </c>
      <c r="Z7" s="1">
        <f t="shared" si="3"/>
        <v>4.2921077516103197E-2</v>
      </c>
      <c r="AA7" s="1">
        <f t="shared" si="3"/>
        <v>3.4177490210006295E-2</v>
      </c>
      <c r="AB7" s="1">
        <f t="shared" si="3"/>
        <v>2.7238288454759212E-2</v>
      </c>
      <c r="AC7" s="1">
        <f t="shared" si="3"/>
        <v>2.1724395761727182E-2</v>
      </c>
      <c r="AD7" s="1">
        <f t="shared" si="3"/>
        <v>1.7338514588596185E-2</v>
      </c>
      <c r="AE7" s="1">
        <f t="shared" si="3"/>
        <v>1.3846730346166316E-2</v>
      </c>
      <c r="AF7" s="1">
        <f t="shared" si="3"/>
        <v>1.1064540303018603E-2</v>
      </c>
      <c r="AG7" s="1">
        <f t="shared" si="3"/>
        <v>8.8461296268382856E-3</v>
      </c>
      <c r="AH7" s="1">
        <f t="shared" si="3"/>
        <v>7.0760747604090412E-3</v>
      </c>
      <c r="AI7" s="1">
        <f>AH7*EXP(-AH8)/(1-EXP(-AI8))</f>
        <v>2.8406144267657418E-2</v>
      </c>
    </row>
    <row r="8" spans="1:35">
      <c r="A8" s="5"/>
      <c r="B8" s="26" t="s">
        <v>50</v>
      </c>
      <c r="C8" s="26">
        <f>SUMXMY2(B4:B7,C4:C7)</f>
        <v>4.3182503969914375E-2</v>
      </c>
      <c r="J8" t="s">
        <v>11</v>
      </c>
      <c r="K8" s="1">
        <f>M+f1_*flt1_ +f2_*flt2_ +f3_*flt3_</f>
        <v>0.15019034804419501</v>
      </c>
      <c r="L8" s="1">
        <f t="shared" ref="L8:AI8" si="4">M+f1_*flt1_ +f2_*flt2_ +f3_*flt3_</f>
        <v>0.15205222494415588</v>
      </c>
      <c r="M8" s="1">
        <f t="shared" si="4"/>
        <v>0.16286701572015258</v>
      </c>
      <c r="N8" s="1">
        <f t="shared" si="4"/>
        <v>0.20863075582624724</v>
      </c>
      <c r="O8" s="1">
        <f t="shared" si="4"/>
        <v>0.22141824215592046</v>
      </c>
      <c r="P8" s="1">
        <f t="shared" si="4"/>
        <v>0.20489813403794466</v>
      </c>
      <c r="Q8" s="1">
        <f t="shared" si="4"/>
        <v>0.19757305531829089</v>
      </c>
      <c r="R8" s="1">
        <f t="shared" si="4"/>
        <v>0.21645016430350286</v>
      </c>
      <c r="S8" s="1">
        <f t="shared" si="4"/>
        <v>0.2377441299830419</v>
      </c>
      <c r="T8" s="1">
        <f t="shared" si="4"/>
        <v>0.23801674971216077</v>
      </c>
      <c r="U8" s="1">
        <f t="shared" si="4"/>
        <v>0.23537003597598016</v>
      </c>
      <c r="V8" s="1">
        <f t="shared" si="4"/>
        <v>0.23311621763059101</v>
      </c>
      <c r="W8" s="1">
        <f t="shared" si="4"/>
        <v>0.23134940525545092</v>
      </c>
      <c r="X8" s="1">
        <f t="shared" si="4"/>
        <v>0.2299381411962752</v>
      </c>
      <c r="Y8" s="1">
        <f t="shared" si="4"/>
        <v>0.22877763620944408</v>
      </c>
      <c r="Z8" s="1">
        <f t="shared" si="4"/>
        <v>0.22779577629039113</v>
      </c>
      <c r="AA8" s="1">
        <f t="shared" si="4"/>
        <v>0.22694359912839474</v>
      </c>
      <c r="AB8" s="1">
        <f t="shared" si="4"/>
        <v>0.22618778952435659</v>
      </c>
      <c r="AC8" s="1">
        <f t="shared" si="4"/>
        <v>0.22550555390672217</v>
      </c>
      <c r="AD8" s="1">
        <f t="shared" si="4"/>
        <v>0.22488117514499245</v>
      </c>
      <c r="AE8" s="1">
        <f t="shared" si="4"/>
        <v>0.22430370117459633</v>
      </c>
      <c r="AF8" s="1">
        <f t="shared" si="4"/>
        <v>0.22376539443703686</v>
      </c>
      <c r="AG8" s="1">
        <f t="shared" si="4"/>
        <v>0.2232606914716356</v>
      </c>
      <c r="AH8" s="1">
        <f t="shared" si="4"/>
        <v>0.22278550454895091</v>
      </c>
      <c r="AI8" s="1">
        <f t="shared" si="4"/>
        <v>0.22233675263783137</v>
      </c>
    </row>
    <row r="9" spans="1:35">
      <c r="A9" s="12" t="s">
        <v>73</v>
      </c>
      <c r="B9" s="12"/>
      <c r="C9" s="12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7" t="s">
        <v>46</v>
      </c>
      <c r="B10" s="19" t="s">
        <v>47</v>
      </c>
      <c r="C10" s="17" t="s">
        <v>48</v>
      </c>
      <c r="J10" t="s">
        <v>55</v>
      </c>
      <c r="K10" s="1">
        <f t="shared" ref="K10:AI10" si="5">EXP(-za)</f>
        <v>0.86054415793688133</v>
      </c>
      <c r="L10" s="1">
        <f t="shared" si="5"/>
        <v>0.85894342129753243</v>
      </c>
      <c r="M10" s="1">
        <f t="shared" si="5"/>
        <v>0.84970417819971233</v>
      </c>
      <c r="N10" s="1">
        <f t="shared" si="5"/>
        <v>0.81169489392691652</v>
      </c>
      <c r="O10" s="1">
        <f t="shared" si="5"/>
        <v>0.80138143868836531</v>
      </c>
      <c r="P10" s="1">
        <f t="shared" si="5"/>
        <v>0.81473030547084502</v>
      </c>
      <c r="Q10" s="1">
        <f t="shared" si="5"/>
        <v>0.82072018046353545</v>
      </c>
      <c r="R10" s="1">
        <f t="shared" si="5"/>
        <v>0.80537267023053849</v>
      </c>
      <c r="S10" s="1">
        <f t="shared" si="5"/>
        <v>0.78840439433351228</v>
      </c>
      <c r="T10" s="1">
        <f t="shared" si="5"/>
        <v>0.78818948903613595</v>
      </c>
      <c r="U10" s="1">
        <f t="shared" si="5"/>
        <v>0.79027836409123475</v>
      </c>
      <c r="V10" s="1">
        <f t="shared" si="5"/>
        <v>0.79206151666235358</v>
      </c>
      <c r="W10" s="1">
        <f t="shared" si="5"/>
        <v>0.79346217774016603</v>
      </c>
      <c r="X10" s="1">
        <f t="shared" si="5"/>
        <v>0.79458275292168135</v>
      </c>
      <c r="Y10" s="1">
        <f t="shared" si="5"/>
        <v>0.79550540543676929</v>
      </c>
      <c r="Z10" s="1">
        <f t="shared" si="5"/>
        <v>0.79628686388834324</v>
      </c>
      <c r="AA10" s="1">
        <f t="shared" si="5"/>
        <v>0.79696573058441078</v>
      </c>
      <c r="AB10" s="1">
        <f t="shared" si="5"/>
        <v>0.79756831262763817</v>
      </c>
      <c r="AC10" s="1">
        <f t="shared" si="5"/>
        <v>0.79811262779249326</v>
      </c>
      <c r="AD10" s="1">
        <f t="shared" si="5"/>
        <v>0.79861110797077905</v>
      </c>
      <c r="AE10" s="1">
        <f t="shared" si="5"/>
        <v>0.79907241828263043</v>
      </c>
      <c r="AF10" s="1">
        <f t="shared" si="5"/>
        <v>0.79950268014522974</v>
      </c>
      <c r="AG10" s="1">
        <f t="shared" si="5"/>
        <v>0.79990629336257157</v>
      </c>
      <c r="AH10" s="1">
        <f t="shared" si="5"/>
        <v>0.80028648869732222</v>
      </c>
      <c r="AI10" s="1">
        <f t="shared" si="5"/>
        <v>0.80064569938078045</v>
      </c>
    </row>
    <row r="11" spans="1:35">
      <c r="A11" s="5">
        <v>1</v>
      </c>
      <c r="B11" s="25">
        <v>0.33333000000000002</v>
      </c>
      <c r="C11" s="18">
        <f>mpr1_/SUM(mpr1_,mpr2_,mpr3_)</f>
        <v>0.33333013034783815</v>
      </c>
      <c r="J11" t="s">
        <v>56</v>
      </c>
      <c r="K11" s="1">
        <f>1-sa</f>
        <v>0.13945584206311867</v>
      </c>
      <c r="L11" s="1">
        <f t="shared" ref="L11:AI11" si="6">1-sa</f>
        <v>0.14105657870246757</v>
      </c>
      <c r="M11" s="1">
        <f t="shared" si="6"/>
        <v>0.15029582180028767</v>
      </c>
      <c r="N11" s="1">
        <f t="shared" si="6"/>
        <v>0.18830510607308348</v>
      </c>
      <c r="O11" s="1">
        <f t="shared" si="6"/>
        <v>0.19861856131163469</v>
      </c>
      <c r="P11" s="1">
        <f t="shared" si="6"/>
        <v>0.18526969452915498</v>
      </c>
      <c r="Q11" s="1">
        <f t="shared" si="6"/>
        <v>0.17927981953646455</v>
      </c>
      <c r="R11" s="1">
        <f t="shared" si="6"/>
        <v>0.19462732976946151</v>
      </c>
      <c r="S11" s="1">
        <f t="shared" si="6"/>
        <v>0.21159560566648772</v>
      </c>
      <c r="T11" s="1">
        <f t="shared" si="6"/>
        <v>0.21181051096386405</v>
      </c>
      <c r="U11" s="1">
        <f t="shared" si="6"/>
        <v>0.20972163590876525</v>
      </c>
      <c r="V11" s="1">
        <f t="shared" si="6"/>
        <v>0.20793848333764642</v>
      </c>
      <c r="W11" s="1">
        <f t="shared" si="6"/>
        <v>0.20653782225983397</v>
      </c>
      <c r="X11" s="1">
        <f t="shared" si="6"/>
        <v>0.20541724707831865</v>
      </c>
      <c r="Y11" s="1">
        <f t="shared" si="6"/>
        <v>0.20449459456323071</v>
      </c>
      <c r="Z11" s="1">
        <f t="shared" si="6"/>
        <v>0.20371313611165676</v>
      </c>
      <c r="AA11" s="1">
        <f t="shared" si="6"/>
        <v>0.20303426941558922</v>
      </c>
      <c r="AB11" s="1">
        <f t="shared" si="6"/>
        <v>0.20243168737236183</v>
      </c>
      <c r="AC11" s="1">
        <f t="shared" si="6"/>
        <v>0.20188737220750674</v>
      </c>
      <c r="AD11" s="1">
        <f t="shared" si="6"/>
        <v>0.20138889202922095</v>
      </c>
      <c r="AE11" s="1">
        <f t="shared" si="6"/>
        <v>0.20092758171736957</v>
      </c>
      <c r="AF11" s="1">
        <f t="shared" si="6"/>
        <v>0.20049731985477026</v>
      </c>
      <c r="AG11" s="1">
        <f t="shared" si="6"/>
        <v>0.20009370663742843</v>
      </c>
      <c r="AH11" s="1">
        <f t="shared" si="6"/>
        <v>0.19971351130267778</v>
      </c>
      <c r="AI11" s="1">
        <f t="shared" si="6"/>
        <v>0.19935430061921955</v>
      </c>
    </row>
    <row r="12" spans="1:35">
      <c r="A12" s="5">
        <v>2</v>
      </c>
      <c r="B12" s="25">
        <v>0.33333000000000002</v>
      </c>
      <c r="C12" s="18">
        <f>mpr2_/SUM(mpr1_,mpr2_,mpr3_)</f>
        <v>0.33332967926696405</v>
      </c>
      <c r="J12" t="s">
        <v>83</v>
      </c>
      <c r="K12">
        <f t="shared" ref="K12:AI12" si="7">1/(1+EXP(($E18-len)/2.5))</f>
        <v>9.0219231636339836E-11</v>
      </c>
      <c r="L12">
        <f t="shared" si="7"/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5">
        <f>1-SUM(B11:B12)</f>
        <v>0.33333999999999997</v>
      </c>
      <c r="C13" s="18">
        <f>mpr3_/SUM(mpr1_,mpr2_,mpr3_)</f>
        <v>0.33334019038519791</v>
      </c>
    </row>
    <row r="14" spans="1:35">
      <c r="A14" s="27" t="s">
        <v>49</v>
      </c>
      <c r="B14" s="30">
        <v>0.4</v>
      </c>
      <c r="C14" s="29">
        <f>spr</f>
        <v>0.40000041557191451</v>
      </c>
    </row>
    <row r="15" spans="1:35">
      <c r="A15" s="5"/>
      <c r="B15" s="26" t="s">
        <v>50</v>
      </c>
      <c r="C15" s="26">
        <f>SUMXMY2(B11:B14,C11:C14)</f>
        <v>3.2880677897346097E-13</v>
      </c>
    </row>
    <row r="17" spans="1:35">
      <c r="A17" s="13" t="s">
        <v>4</v>
      </c>
      <c r="B17" s="13"/>
      <c r="C17" s="13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100</v>
      </c>
      <c r="E18">
        <v>82</v>
      </c>
      <c r="F18">
        <v>0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>((EXP(g*(ah-age)/gh)/(1+EXP((ah-age)/gh))) *(1/(1-g))*((1-g)/g)^g) *(sr+(1-sr)*dmr)</f>
        <v>2.2660841037912323E-18</v>
      </c>
      <c r="L18" s="4">
        <f t="shared" ref="L18:AI18" si="8">((EXP(g*(ah-age)/gh)/(1+EXP((ah-age)/gh))) *(1/(1-g))*((1-g)/g)^g) *(sr+(1-sr)*dmr)</f>
        <v>6.2358484195451125E-14</v>
      </c>
      <c r="M18" s="4">
        <f t="shared" si="8"/>
        <v>3.6200651492535513E-10</v>
      </c>
      <c r="N18" s="4">
        <f t="shared" si="8"/>
        <v>5.9874058650038687E-7</v>
      </c>
      <c r="O18" s="4">
        <f t="shared" si="8"/>
        <v>2.2410083031335602E-4</v>
      </c>
      <c r="P18" s="4">
        <f t="shared" si="8"/>
        <v>6.2942398241139993E-3</v>
      </c>
      <c r="Q18" s="4">
        <f t="shared" si="8"/>
        <v>7.547885753086013E-2</v>
      </c>
      <c r="R18" s="4">
        <f t="shared" si="8"/>
        <v>0.49971319687174481</v>
      </c>
      <c r="S18" s="4">
        <f t="shared" si="8"/>
        <v>0.92410373927527512</v>
      </c>
      <c r="T18" s="4">
        <f t="shared" si="8"/>
        <v>0.99334260502214955</v>
      </c>
      <c r="U18" s="4">
        <f t="shared" si="8"/>
        <v>0.99948310172921173</v>
      </c>
      <c r="V18" s="4">
        <f t="shared" si="8"/>
        <v>0.99997342547539469</v>
      </c>
      <c r="W18" s="4">
        <f t="shared" si="8"/>
        <v>0.99999311084931608</v>
      </c>
      <c r="X18" s="4">
        <f t="shared" si="8"/>
        <v>0.99997286471456404</v>
      </c>
      <c r="Y18" s="4">
        <f t="shared" si="8"/>
        <v>0.99994881109245382</v>
      </c>
      <c r="Z18" s="4">
        <f t="shared" si="8"/>
        <v>0.99992420037026464</v>
      </c>
      <c r="AA18" s="4">
        <f t="shared" si="8"/>
        <v>0.99989942033135415</v>
      </c>
      <c r="AB18" s="4">
        <f t="shared" si="8"/>
        <v>0.99987455907897871</v>
      </c>
      <c r="AC18" s="4">
        <f t="shared" si="8"/>
        <v>0.99984965215123045</v>
      </c>
      <c r="AD18" s="4">
        <f t="shared" si="8"/>
        <v>0.99982471769063697</v>
      </c>
      <c r="AE18" s="4">
        <f t="shared" si="8"/>
        <v>0.99979976586142616</v>
      </c>
      <c r="AF18" s="4">
        <f t="shared" si="8"/>
        <v>0.99977480269273089</v>
      </c>
      <c r="AG18" s="4">
        <f t="shared" si="8"/>
        <v>0.99974983192724243</v>
      </c>
      <c r="AH18" s="4">
        <f t="shared" si="8"/>
        <v>0.99972485598014738</v>
      </c>
      <c r="AI18" s="4">
        <f t="shared" si="8"/>
        <v>0.99969987646306058</v>
      </c>
    </row>
    <row r="19" spans="1:35">
      <c r="A19" t="s">
        <v>21</v>
      </c>
      <c r="B19">
        <v>12</v>
      </c>
      <c r="E19">
        <v>0</v>
      </c>
      <c r="F19">
        <v>0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ref="K19:T20" si="9">(EXP(g*(ah-age)/gh)/(1+EXP((ah-age)/gh))) *(1/(1-g))*((1-g)/g)^g</f>
        <v>3.2067293740165511E-26</v>
      </c>
      <c r="L19" s="4">
        <f t="shared" si="9"/>
        <v>1.042879559395233E-17</v>
      </c>
      <c r="M19" s="4">
        <f t="shared" si="9"/>
        <v>3.3916107232972742E-9</v>
      </c>
      <c r="N19" s="4">
        <f t="shared" si="9"/>
        <v>0.55150296322207493</v>
      </c>
      <c r="O19" s="4">
        <f t="shared" si="9"/>
        <v>0.73936698186767658</v>
      </c>
      <c r="P19" s="4">
        <f t="shared" si="9"/>
        <v>0.49561251034430615</v>
      </c>
      <c r="Q19" s="4">
        <f t="shared" si="9"/>
        <v>0.33221900074983407</v>
      </c>
      <c r="R19" s="4">
        <f t="shared" si="9"/>
        <v>0.22269305587654287</v>
      </c>
      <c r="S19" s="4">
        <f t="shared" si="9"/>
        <v>0.1492756194669814</v>
      </c>
      <c r="T19" s="4">
        <f t="shared" si="9"/>
        <v>0.10006244011310554</v>
      </c>
      <c r="U19" s="4">
        <f t="shared" ref="U19:AI20" si="10">(EXP(g*(ah-age)/gh)/(1+EXP((ah-age)/gh))) *(1/(1-g))*((1-g)/g)^g</f>
        <v>6.7073859463055288E-2</v>
      </c>
      <c r="V19" s="4">
        <f t="shared" si="10"/>
        <v>4.4960952563063247E-2</v>
      </c>
      <c r="W19" s="4">
        <f t="shared" si="10"/>
        <v>3.013822779187875E-2</v>
      </c>
      <c r="X19" s="4">
        <f t="shared" si="10"/>
        <v>2.020225824088474E-2</v>
      </c>
      <c r="Y19" s="4">
        <f t="shared" si="10"/>
        <v>1.3541978674053741E-2</v>
      </c>
      <c r="Z19" s="4">
        <f t="shared" si="10"/>
        <v>9.0774597682053461E-3</v>
      </c>
      <c r="AA19" s="4">
        <f t="shared" si="10"/>
        <v>6.0848032497100683E-3</v>
      </c>
      <c r="AB19" s="4">
        <f t="shared" si="10"/>
        <v>4.07876559446346E-3</v>
      </c>
      <c r="AC19" s="4">
        <f t="shared" si="10"/>
        <v>2.734078341049332E-3</v>
      </c>
      <c r="AD19" s="4">
        <f t="shared" si="10"/>
        <v>1.832707519437232E-3</v>
      </c>
      <c r="AE19" s="4">
        <f t="shared" si="10"/>
        <v>1.2285005887990271E-3</v>
      </c>
      <c r="AF19" s="4">
        <f t="shared" si="10"/>
        <v>8.2348857123857417E-4</v>
      </c>
      <c r="AG19" s="4">
        <f t="shared" si="10"/>
        <v>5.5200089698246365E-4</v>
      </c>
      <c r="AH19" s="4">
        <f t="shared" si="10"/>
        <v>3.7001726667699921E-4</v>
      </c>
      <c r="AI19" s="4">
        <f t="shared" si="10"/>
        <v>2.4802999123290785E-4</v>
      </c>
    </row>
    <row r="20" spans="1:35">
      <c r="A20" t="s">
        <v>5</v>
      </c>
      <c r="B20">
        <v>0.15</v>
      </c>
      <c r="E20">
        <v>0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9"/>
        <v>8.1586526895818766E-3</v>
      </c>
      <c r="L20" s="4">
        <f t="shared" si="9"/>
        <v>8.7961978443441266E-2</v>
      </c>
      <c r="M20" s="4">
        <f t="shared" si="9"/>
        <v>0.55150296322207493</v>
      </c>
      <c r="N20" s="4">
        <f t="shared" si="9"/>
        <v>0.96962040317224751</v>
      </c>
      <c r="O20" s="4">
        <f t="shared" si="9"/>
        <v>0.99136129470144307</v>
      </c>
      <c r="P20" s="4">
        <f t="shared" si="9"/>
        <v>0.94884120969175767</v>
      </c>
      <c r="Q20" s="4">
        <f t="shared" si="9"/>
        <v>0.90302387558657016</v>
      </c>
      <c r="R20" s="4">
        <f t="shared" si="9"/>
        <v>0.85901867798242304</v>
      </c>
      <c r="S20" s="4">
        <f t="shared" si="9"/>
        <v>0.81712663786881001</v>
      </c>
      <c r="T20" s="4">
        <f t="shared" si="9"/>
        <v>0.77727511973697594</v>
      </c>
      <c r="U20" s="4">
        <f t="shared" si="10"/>
        <v>0.73936698186767658</v>
      </c>
      <c r="V20" s="4">
        <f t="shared" si="10"/>
        <v>0.70330762998745233</v>
      </c>
      <c r="W20" s="4">
        <f t="shared" si="10"/>
        <v>0.66900691222382347</v>
      </c>
      <c r="X20" s="4">
        <f t="shared" si="10"/>
        <v>0.63637906010977985</v>
      </c>
      <c r="Y20" s="4">
        <f t="shared" si="10"/>
        <v>0.60534248711316452</v>
      </c>
      <c r="Z20" s="4">
        <f t="shared" si="10"/>
        <v>0.57581958564253577</v>
      </c>
      <c r="AA20" s="4">
        <f t="shared" si="10"/>
        <v>0.54773653306699277</v>
      </c>
      <c r="AB20" s="4">
        <f t="shared" si="10"/>
        <v>0.52102310712733224</v>
      </c>
      <c r="AC20" s="4">
        <f t="shared" si="10"/>
        <v>0.49561251034430615</v>
      </c>
      <c r="AD20" s="4">
        <f t="shared" si="10"/>
        <v>0.47144120299016851</v>
      </c>
      <c r="AE20" s="4">
        <f t="shared" si="10"/>
        <v>0.4484487442062623</v>
      </c>
      <c r="AF20" s="4">
        <f t="shared" si="10"/>
        <v>0.42657764086939076</v>
      </c>
      <c r="AG20" s="4">
        <f t="shared" si="10"/>
        <v>0.40577320382906285</v>
      </c>
      <c r="AH20" s="4">
        <f t="shared" si="10"/>
        <v>0.38598341115613044</v>
      </c>
      <c r="AI20" s="4">
        <f t="shared" si="10"/>
        <v>0.36715877806086844</v>
      </c>
    </row>
    <row r="21" spans="1:35">
      <c r="A21" t="s">
        <v>42</v>
      </c>
      <c r="B21" s="1">
        <f>Bo/phie</f>
        <v>4.523096855227565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si="11">wa*flt1_*(1-EXP(-za))/za</f>
        <v>2.9739573029979386E-19</v>
      </c>
      <c r="L22" s="1">
        <f t="shared" si="11"/>
        <v>4.7566720307991079E-14</v>
      </c>
      <c r="M22" s="1">
        <f t="shared" si="11"/>
        <v>6.8265808286299817E-10</v>
      </c>
      <c r="N22" s="1">
        <f t="shared" si="11"/>
        <v>1.9515309427523716E-6</v>
      </c>
      <c r="O22" s="1">
        <f t="shared" si="11"/>
        <v>1.0699798265253308E-3</v>
      </c>
      <c r="P22" s="1">
        <f t="shared" si="11"/>
        <v>3.9974727990773846E-2</v>
      </c>
      <c r="Q22" s="1">
        <f t="shared" si="11"/>
        <v>0.59017376445759362</v>
      </c>
      <c r="R22" s="1">
        <f t="shared" si="11"/>
        <v>4.515474949943548</v>
      </c>
      <c r="S22" s="1">
        <f t="shared" si="11"/>
        <v>9.2945790214587749</v>
      </c>
      <c r="T22" s="1">
        <f t="shared" si="11"/>
        <v>10.936304645711866</v>
      </c>
      <c r="U22" s="1">
        <f t="shared" si="11"/>
        <v>11.821315986696588</v>
      </c>
      <c r="V22" s="1">
        <f t="shared" si="11"/>
        <v>12.509861259919754</v>
      </c>
      <c r="W22" s="1">
        <f t="shared" si="11"/>
        <v>13.073957972122207</v>
      </c>
      <c r="X22" s="1">
        <f t="shared" si="11"/>
        <v>13.536143744846877</v>
      </c>
      <c r="Y22" s="1">
        <f t="shared" si="11"/>
        <v>13.913196915323963</v>
      </c>
      <c r="Z22" s="1">
        <f t="shared" si="11"/>
        <v>14.219658193759852</v>
      </c>
      <c r="AA22" s="1">
        <f t="shared" si="11"/>
        <v>14.468046113613227</v>
      </c>
      <c r="AB22" s="1">
        <f t="shared" si="11"/>
        <v>14.668956022171773</v>
      </c>
      <c r="AC22" s="1">
        <f t="shared" si="11"/>
        <v>14.831234706526423</v>
      </c>
      <c r="AD22" s="1">
        <f t="shared" si="11"/>
        <v>14.962194480263749</v>
      </c>
      <c r="AE22" s="1">
        <f t="shared" si="11"/>
        <v>15.067833519934302</v>
      </c>
      <c r="AF22" s="1">
        <f t="shared" si="11"/>
        <v>15.15304371714875</v>
      </c>
      <c r="AG22" s="1">
        <f t="shared" si="11"/>
        <v>15.221797149512502</v>
      </c>
      <c r="AH22" s="1">
        <f t="shared" si="11"/>
        <v>15.277308111946956</v>
      </c>
      <c r="AI22" s="1">
        <f t="shared" si="11"/>
        <v>15.322170899455505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si="12">wa*flt2_*(1-EXP(-za))/za</f>
        <v>4.2084387885866023E-27</v>
      </c>
      <c r="L23" s="1">
        <f t="shared" si="12"/>
        <v>7.9550298498584524E-18</v>
      </c>
      <c r="M23" s="1">
        <f t="shared" si="12"/>
        <v>6.3957701829236836E-9</v>
      </c>
      <c r="N23" s="1">
        <f t="shared" si="12"/>
        <v>1.7975649588718952</v>
      </c>
      <c r="O23" s="1">
        <f t="shared" si="12"/>
        <v>3.530142007466651</v>
      </c>
      <c r="P23" s="1">
        <f t="shared" si="12"/>
        <v>3.1476359089363162</v>
      </c>
      <c r="Q23" s="1">
        <f t="shared" si="12"/>
        <v>2.5976405143215922</v>
      </c>
      <c r="R23" s="1">
        <f t="shared" si="12"/>
        <v>2.0122840894173817</v>
      </c>
      <c r="S23" s="1">
        <f t="shared" si="12"/>
        <v>1.5014050719036953</v>
      </c>
      <c r="T23" s="1">
        <f t="shared" si="12"/>
        <v>1.1016474307430117</v>
      </c>
      <c r="U23" s="1">
        <f t="shared" si="12"/>
        <v>0.79331134842425288</v>
      </c>
      <c r="V23" s="1">
        <f t="shared" si="12"/>
        <v>0.56247022605661667</v>
      </c>
      <c r="W23" s="1">
        <f t="shared" si="12"/>
        <v>0.39402863802792937</v>
      </c>
      <c r="X23" s="1">
        <f t="shared" si="12"/>
        <v>0.27346809215387141</v>
      </c>
      <c r="Y23" s="1">
        <f t="shared" si="12"/>
        <v>0.1884218610244511</v>
      </c>
      <c r="Z23" s="1">
        <f t="shared" si="12"/>
        <v>0.12908816000621823</v>
      </c>
      <c r="AA23" s="1">
        <f t="shared" si="12"/>
        <v>8.8044069452400647E-2</v>
      </c>
      <c r="AB23" s="1">
        <f t="shared" si="12"/>
        <v>5.9838739356509435E-2</v>
      </c>
      <c r="AC23" s="1">
        <f t="shared" si="12"/>
        <v>4.0555855067697488E-2</v>
      </c>
      <c r="AD23" s="1">
        <f t="shared" si="12"/>
        <v>2.7426133647304219E-2</v>
      </c>
      <c r="AE23" s="1">
        <f t="shared" si="12"/>
        <v>1.8514549596054457E-2</v>
      </c>
      <c r="AF23" s="1">
        <f t="shared" si="12"/>
        <v>1.2481169046211254E-2</v>
      </c>
      <c r="AG23" s="1">
        <f t="shared" si="12"/>
        <v>8.4045482298490681E-3</v>
      </c>
      <c r="AH23" s="1">
        <f t="shared" si="12"/>
        <v>5.6544235705961237E-3</v>
      </c>
      <c r="AI23" s="1">
        <f t="shared" si="12"/>
        <v>3.8014988331365367E-3</v>
      </c>
    </row>
    <row r="24" spans="1:35">
      <c r="B24" s="1"/>
      <c r="J24" s="8" t="s">
        <v>25</v>
      </c>
      <c r="K24" s="1">
        <f t="shared" ref="K24:AI24" si="13">wa*flt3_*(1-EXP(-za))/za</f>
        <v>1.070723046342905E-3</v>
      </c>
      <c r="L24" s="1">
        <f t="shared" si="13"/>
        <v>6.7096929637393707E-2</v>
      </c>
      <c r="M24" s="1">
        <f t="shared" si="13"/>
        <v>1.0400032597315967</v>
      </c>
      <c r="N24" s="1">
        <f t="shared" si="13"/>
        <v>3.1603740621205541</v>
      </c>
      <c r="O24" s="1">
        <f t="shared" si="13"/>
        <v>4.7333005622753337</v>
      </c>
      <c r="P24" s="1">
        <f t="shared" si="13"/>
        <v>6.0260921610504319</v>
      </c>
      <c r="Q24" s="1">
        <f t="shared" si="13"/>
        <v>7.0607984471958209</v>
      </c>
      <c r="R24" s="1">
        <f t="shared" si="13"/>
        <v>7.7622070944802317</v>
      </c>
      <c r="S24" s="1">
        <f t="shared" si="13"/>
        <v>8.218609863181392</v>
      </c>
      <c r="T24" s="1">
        <f t="shared" si="13"/>
        <v>8.5574880811502023</v>
      </c>
      <c r="U24" s="1">
        <f t="shared" si="13"/>
        <v>8.7448109004207684</v>
      </c>
      <c r="V24" s="1">
        <f t="shared" si="13"/>
        <v>8.7985146905311407</v>
      </c>
      <c r="W24" s="1">
        <f t="shared" si="13"/>
        <v>8.7466285103153005</v>
      </c>
      <c r="X24" s="1">
        <f t="shared" si="13"/>
        <v>8.6143521867619643</v>
      </c>
      <c r="Y24" s="1">
        <f t="shared" si="13"/>
        <v>8.4226803722242813</v>
      </c>
      <c r="Z24" s="1">
        <f t="shared" si="13"/>
        <v>8.1885783803185728</v>
      </c>
      <c r="AA24" s="1">
        <f t="shared" si="13"/>
        <v>7.9254745601290066</v>
      </c>
      <c r="AB24" s="1">
        <f t="shared" si="13"/>
        <v>7.6438238932954272</v>
      </c>
      <c r="AC24" s="1">
        <f t="shared" si="13"/>
        <v>7.351650769285226</v>
      </c>
      <c r="AD24" s="1">
        <f t="shared" si="13"/>
        <v>7.0550315873776661</v>
      </c>
      <c r="AE24" s="1">
        <f t="shared" si="13"/>
        <v>6.7585043032107635</v>
      </c>
      <c r="AF24" s="1">
        <f t="shared" si="13"/>
        <v>6.4654056327909641</v>
      </c>
      <c r="AG24" s="1">
        <f t="shared" si="13"/>
        <v>6.1781429715141885</v>
      </c>
      <c r="AH24" s="1">
        <f t="shared" si="13"/>
        <v>5.8984104106836455</v>
      </c>
      <c r="AI24" s="1">
        <f t="shared" si="13"/>
        <v>5.6273584474047418</v>
      </c>
    </row>
    <row r="25" spans="1:35">
      <c r="J25" s="2" t="s">
        <v>29</v>
      </c>
    </row>
    <row r="26" spans="1:35">
      <c r="A26" s="14" t="s">
        <v>13</v>
      </c>
      <c r="B26" s="14"/>
      <c r="C26" s="14"/>
      <c r="J26" s="8" t="s">
        <v>30</v>
      </c>
      <c r="K26">
        <f>qa1_/wa</f>
        <v>2.1041210104064893E-18</v>
      </c>
      <c r="L26">
        <f t="shared" ref="L26:AI26" si="14">qa1_/wa</f>
        <v>5.7849034678136147E-14</v>
      </c>
      <c r="M26">
        <f t="shared" si="14"/>
        <v>3.3406436789663662E-10</v>
      </c>
      <c r="N26">
        <f t="shared" si="14"/>
        <v>5.404088635192076E-7</v>
      </c>
      <c r="O26">
        <f t="shared" si="14"/>
        <v>2.0102492040487637E-4</v>
      </c>
      <c r="P26">
        <f t="shared" si="14"/>
        <v>5.6912762772690223E-3</v>
      </c>
      <c r="Q26">
        <f t="shared" si="14"/>
        <v>6.8490290516342353E-2</v>
      </c>
      <c r="R26">
        <f t="shared" si="14"/>
        <v>0.44933135288054382</v>
      </c>
      <c r="S26">
        <f t="shared" si="14"/>
        <v>0.82246527148563187</v>
      </c>
      <c r="T26">
        <f t="shared" si="14"/>
        <v>0.88397310267600659</v>
      </c>
      <c r="U26">
        <f t="shared" si="14"/>
        <v>0.89056888778828436</v>
      </c>
      <c r="V26">
        <f t="shared" si="14"/>
        <v>0.89197122184268951</v>
      </c>
      <c r="W26">
        <f t="shared" si="14"/>
        <v>0.89274661917371934</v>
      </c>
      <c r="X26">
        <f t="shared" si="14"/>
        <v>0.89333449402527043</v>
      </c>
      <c r="Y26">
        <f t="shared" si="14"/>
        <v>0.89381169460607746</v>
      </c>
      <c r="Z26">
        <f t="shared" si="14"/>
        <v>0.89421190352404112</v>
      </c>
      <c r="AA26">
        <f t="shared" si="14"/>
        <v>0.89455639672477094</v>
      </c>
      <c r="AB26">
        <f t="shared" si="14"/>
        <v>0.89485950846722551</v>
      </c>
      <c r="AC26">
        <f t="shared" si="14"/>
        <v>0.89513103060378496</v>
      </c>
      <c r="AD26">
        <f t="shared" si="14"/>
        <v>0.89537771220433626</v>
      </c>
      <c r="AE26">
        <f t="shared" si="14"/>
        <v>0.89560425487477568</v>
      </c>
      <c r="AF26">
        <f t="shared" si="14"/>
        <v>0.89581397920145145</v>
      </c>
      <c r="AG26">
        <f t="shared" si="14"/>
        <v>0.8960092717704532</v>
      </c>
      <c r="AH26">
        <f t="shared" si="14"/>
        <v>0.8961918852332228</v>
      </c>
      <c r="AI26">
        <f t="shared" si="14"/>
        <v>0.89636313986310778</v>
      </c>
    </row>
    <row r="27" spans="1:35">
      <c r="A27" t="s">
        <v>14</v>
      </c>
      <c r="B27" s="28">
        <v>6.3773583469518225E-2</v>
      </c>
      <c r="C27" s="36">
        <v>0.90209129860381354</v>
      </c>
      <c r="J27" s="8" t="s">
        <v>31</v>
      </c>
      <c r="K27">
        <f t="shared" ref="K27:AI27" si="15">qa2_/wa</f>
        <v>2.9775358466472383E-26</v>
      </c>
      <c r="L27">
        <f t="shared" si="15"/>
        <v>9.6746379542328688E-18</v>
      </c>
      <c r="M27">
        <f t="shared" si="15"/>
        <v>3.1298229333341796E-9</v>
      </c>
      <c r="N27">
        <f t="shared" si="15"/>
        <v>0.49777332003552804</v>
      </c>
      <c r="O27">
        <f t="shared" si="15"/>
        <v>0.66323354747108754</v>
      </c>
      <c r="P27">
        <f t="shared" si="15"/>
        <v>0.44813477110198058</v>
      </c>
      <c r="Q27">
        <f t="shared" si="15"/>
        <v>0.3014589332794555</v>
      </c>
      <c r="R27">
        <f t="shared" si="15"/>
        <v>0.20024080352593016</v>
      </c>
      <c r="S27">
        <f t="shared" si="15"/>
        <v>0.1328573921661455</v>
      </c>
      <c r="T27">
        <f t="shared" si="15"/>
        <v>8.9045315484219748E-2</v>
      </c>
      <c r="U27">
        <f t="shared" si="15"/>
        <v>5.9764784735564687E-2</v>
      </c>
      <c r="V27">
        <f t="shared" si="15"/>
        <v>4.0104941562643076E-2</v>
      </c>
      <c r="W27">
        <f t="shared" si="15"/>
        <v>2.6905986328481298E-2</v>
      </c>
      <c r="X27">
        <f t="shared" si="15"/>
        <v>1.8047863877726448E-2</v>
      </c>
      <c r="Y27">
        <f t="shared" si="15"/>
        <v>1.210459852815028E-2</v>
      </c>
      <c r="Z27">
        <f t="shared" si="15"/>
        <v>8.1177879038071814E-3</v>
      </c>
      <c r="AA27">
        <f t="shared" si="15"/>
        <v>5.4437472001293962E-3</v>
      </c>
      <c r="AB27">
        <f t="shared" si="15"/>
        <v>3.6503800820541729E-3</v>
      </c>
      <c r="AC27">
        <f t="shared" si="15"/>
        <v>2.4477263735696183E-3</v>
      </c>
      <c r="AD27">
        <f t="shared" si="15"/>
        <v>1.6412531485355177E-3</v>
      </c>
      <c r="AE27">
        <f t="shared" si="15"/>
        <v>1.1004707062484674E-3</v>
      </c>
      <c r="AF27">
        <f t="shared" si="15"/>
        <v>7.3785873762900408E-4</v>
      </c>
      <c r="AG27">
        <f t="shared" si="15"/>
        <v>4.947216852924551E-4</v>
      </c>
      <c r="AH27">
        <f t="shared" si="15"/>
        <v>3.3169773644068441E-4</v>
      </c>
      <c r="AI27">
        <f t="shared" si="15"/>
        <v>2.223916867013471E-4</v>
      </c>
    </row>
    <row r="28" spans="1:35">
      <c r="A28" t="s">
        <v>15</v>
      </c>
      <c r="B28" s="28">
        <v>6.5291906864652541E-2</v>
      </c>
      <c r="C28" s="36">
        <v>1.0418238884169517</v>
      </c>
      <c r="J28" s="8" t="s">
        <v>32</v>
      </c>
      <c r="K28">
        <f t="shared" ref="K28:AI28" si="16">qa3_/wa</f>
        <v>7.5755319548987798E-3</v>
      </c>
      <c r="L28">
        <f t="shared" si="16"/>
        <v>8.1601013991666138E-2</v>
      </c>
      <c r="M28">
        <f t="shared" si="16"/>
        <v>0.5089341799273801</v>
      </c>
      <c r="N28">
        <f t="shared" si="16"/>
        <v>0.87515607249219196</v>
      </c>
      <c r="O28">
        <f t="shared" si="16"/>
        <v>0.88927972770637032</v>
      </c>
      <c r="P28">
        <f t="shared" si="16"/>
        <v>0.85794593445985878</v>
      </c>
      <c r="Q28">
        <f t="shared" si="16"/>
        <v>0.8194131390612317</v>
      </c>
      <c r="R28">
        <f t="shared" si="16"/>
        <v>0.77241110929988921</v>
      </c>
      <c r="S28">
        <f t="shared" si="16"/>
        <v>0.72725415285081685</v>
      </c>
      <c r="T28">
        <f t="shared" si="16"/>
        <v>0.69169518729284596</v>
      </c>
      <c r="U28">
        <f t="shared" si="16"/>
        <v>0.65879776213332319</v>
      </c>
      <c r="V28">
        <f t="shared" si="16"/>
        <v>0.62734683749516318</v>
      </c>
      <c r="W28">
        <f t="shared" si="16"/>
        <v>0.59725777369046762</v>
      </c>
      <c r="X28">
        <f t="shared" si="16"/>
        <v>0.56851479248261594</v>
      </c>
      <c r="Y28">
        <f t="shared" si="16"/>
        <v>0.54108989202413216</v>
      </c>
      <c r="Z28">
        <f t="shared" si="16"/>
        <v>0.5149437603102025</v>
      </c>
      <c r="AA28">
        <f t="shared" si="16"/>
        <v>0.49003050648089563</v>
      </c>
      <c r="AB28">
        <f t="shared" si="16"/>
        <v>0.46630097476777899</v>
      </c>
      <c r="AC28">
        <f t="shared" si="16"/>
        <v>0.44370484723389797</v>
      </c>
      <c r="AD28">
        <f t="shared" si="16"/>
        <v>0.42219194855193387</v>
      </c>
      <c r="AE28">
        <f t="shared" si="16"/>
        <v>0.40171304006891051</v>
      </c>
      <c r="AF28">
        <f t="shared" si="16"/>
        <v>0.3822202888854172</v>
      </c>
      <c r="AG28">
        <f t="shared" si="16"/>
        <v>0.36366753087216502</v>
      </c>
      <c r="AH28">
        <f t="shared" si="16"/>
        <v>0.34601040360612179</v>
      </c>
      <c r="AI28">
        <f t="shared" si="16"/>
        <v>0.32920639771940857</v>
      </c>
    </row>
    <row r="29" spans="1:35">
      <c r="A29" t="s">
        <v>19</v>
      </c>
      <c r="B29" s="28">
        <v>2.3330818388441223E-2</v>
      </c>
      <c r="C29" s="36">
        <v>1.0734109767966595</v>
      </c>
    </row>
    <row r="30" spans="1:35">
      <c r="A30" t="s">
        <v>95</v>
      </c>
      <c r="B30" s="28">
        <f>AVERAGE(B27:B29)</f>
        <v>5.079876957420399E-2</v>
      </c>
      <c r="C30" s="36"/>
      <c r="G30" t="s">
        <v>58</v>
      </c>
      <c r="H30" t="s">
        <v>59</v>
      </c>
      <c r="J30" s="2" t="s">
        <v>51</v>
      </c>
    </row>
    <row r="31" spans="1:35">
      <c r="G31">
        <f>SUMPRODUCT(dlz1_,wa,ma)</f>
        <v>-59.314666812404212</v>
      </c>
      <c r="H31">
        <f>Ro/(reck-1)*phie/phif^2*dphif</f>
        <v>-6.8947782059044318</v>
      </c>
      <c r="J31" s="8" t="s">
        <v>52</v>
      </c>
      <c r="K31">
        <v>0</v>
      </c>
      <c r="L31">
        <f t="shared" ref="L31:AH31" si="17">K31*sa-K$7*K18*K$10</f>
        <v>-1.9500654369111785E-18</v>
      </c>
      <c r="M31">
        <f t="shared" si="17"/>
        <v>-4.6094475784261112E-14</v>
      </c>
      <c r="N31">
        <f t="shared" si="17"/>
        <v>-2.274014970811165E-10</v>
      </c>
      <c r="O31">
        <f t="shared" si="17"/>
        <v>-3.0541910045634833E-7</v>
      </c>
      <c r="P31">
        <f t="shared" si="17"/>
        <v>-9.1803615803591715E-5</v>
      </c>
      <c r="Q31">
        <f t="shared" si="17"/>
        <v>-2.1703966752147975E-3</v>
      </c>
      <c r="R31">
        <f t="shared" si="17"/>
        <v>-2.2367180799586661E-2</v>
      </c>
      <c r="S31">
        <f t="shared" si="17"/>
        <v>-0.1275765412037814</v>
      </c>
      <c r="T31">
        <f t="shared" si="17"/>
        <v>-0.26084698813547863</v>
      </c>
      <c r="U31">
        <f t="shared" si="17"/>
        <v>-0.34194873710106116</v>
      </c>
      <c r="V31">
        <f t="shared" si="17"/>
        <v>-0.37883322161542476</v>
      </c>
      <c r="W31">
        <f t="shared" si="17"/>
        <v>-0.38616555579588008</v>
      </c>
      <c r="X31">
        <f t="shared" si="17"/>
        <v>-0.3747429264546957</v>
      </c>
      <c r="Y31">
        <f t="shared" si="17"/>
        <v>-0.35206303583852089</v>
      </c>
      <c r="Z31">
        <f t="shared" si="17"/>
        <v>-0.32326205113189965</v>
      </c>
      <c r="AA31">
        <f t="shared" si="17"/>
        <v>-0.29180367631945264</v>
      </c>
      <c r="AB31">
        <f t="shared" si="17"/>
        <v>-0.25996891457737931</v>
      </c>
      <c r="AC31">
        <f t="shared" si="17"/>
        <v>-0.22920614419122862</v>
      </c>
      <c r="AD31">
        <f t="shared" si="17"/>
        <v>-0.20038248054649416</v>
      </c>
      <c r="AE31">
        <f t="shared" si="17"/>
        <v>-0.17396441657105335</v>
      </c>
      <c r="AF31">
        <f t="shared" si="17"/>
        <v>-0.15014734210278069</v>
      </c>
      <c r="AG31">
        <f t="shared" si="17"/>
        <v>-0.12894794138194385</v>
      </c>
      <c r="AH31">
        <f t="shared" si="17"/>
        <v>-0.11026959978572752</v>
      </c>
      <c r="AI31">
        <f>(AH31*sa-AH$7*AH18*AH$10)/oa-AH$7*AH$10*flt1_*sa/oa^2</f>
        <v>-0.58531288690435845</v>
      </c>
    </row>
    <row r="32" spans="1:35">
      <c r="A32" s="12" t="s">
        <v>22</v>
      </c>
      <c r="B32" s="12"/>
      <c r="C32" s="12"/>
      <c r="G32">
        <f>SUMPRODUCT(dlz2_,wa,ma)</f>
        <v>-23.285585377518665</v>
      </c>
      <c r="H32">
        <f>Ro/(reck-1)*phie/phif^2*dphif</f>
        <v>-2.706732671708572</v>
      </c>
      <c r="J32" s="8" t="s">
        <v>53</v>
      </c>
      <c r="K32">
        <v>0</v>
      </c>
      <c r="L32">
        <f t="shared" ref="L32:AH32" si="18">K32*sa-K$7*K19*K$10</f>
        <v>-2.7595322288945356E-26</v>
      </c>
      <c r="M32">
        <f t="shared" si="18"/>
        <v>-7.7085354677206983E-18</v>
      </c>
      <c r="N32">
        <f t="shared" si="18"/>
        <v>-2.1301563108275772E-9</v>
      </c>
      <c r="O32">
        <f t="shared" si="18"/>
        <v>-0.28115521214775141</v>
      </c>
      <c r="P32">
        <f t="shared" si="18"/>
        <v>-0.53112873187347776</v>
      </c>
      <c r="Q32">
        <f t="shared" si="18"/>
        <v>-0.60087378484421405</v>
      </c>
      <c r="R32">
        <f t="shared" si="18"/>
        <v>-0.57468241969814415</v>
      </c>
      <c r="S32">
        <f t="shared" si="18"/>
        <v>-0.50207695884694759</v>
      </c>
      <c r="T32">
        <f t="shared" si="18"/>
        <v>-0.42162472106143362</v>
      </c>
      <c r="U32">
        <f t="shared" si="18"/>
        <v>-0.34688115009233356</v>
      </c>
      <c r="V32">
        <f t="shared" si="18"/>
        <v>-0.2819981804652566</v>
      </c>
      <c r="W32">
        <f t="shared" si="18"/>
        <v>-0.22760255865280968</v>
      </c>
      <c r="X32">
        <f t="shared" si="18"/>
        <v>-0.18289554081003426</v>
      </c>
      <c r="Y32">
        <f t="shared" si="18"/>
        <v>-0.14658439360741526</v>
      </c>
      <c r="Z32">
        <f t="shared" si="18"/>
        <v>-0.1173044633970137</v>
      </c>
      <c r="AA32">
        <f t="shared" si="18"/>
        <v>-9.3797882164372862E-2</v>
      </c>
      <c r="AB32">
        <f t="shared" si="18"/>
        <v>-7.497595823199095E-2</v>
      </c>
      <c r="AC32">
        <f t="shared" si="18"/>
        <v>-5.9927867763787952E-2</v>
      </c>
      <c r="AD32">
        <f t="shared" si="18"/>
        <v>-4.7906465730367678E-2</v>
      </c>
      <c r="AE32">
        <f t="shared" si="18"/>
        <v>-3.8306112429363902E-2</v>
      </c>
      <c r="AF32">
        <f t="shared" si="18"/>
        <v>-3.0639432347497986E-2</v>
      </c>
      <c r="AG32">
        <f t="shared" si="18"/>
        <v>-2.4515959446467783E-2</v>
      </c>
      <c r="AH32">
        <f t="shared" si="18"/>
        <v>-1.9623697102074511E-2</v>
      </c>
      <c r="AI32">
        <f>(AH32*sa-AH$7*AH19*AH$10)/oa-AH$7*AH$10*flt2_*sa/oa^2</f>
        <v>-7.8851396823512512E-2</v>
      </c>
    </row>
    <row r="33" spans="1:35">
      <c r="A33" t="s">
        <v>28</v>
      </c>
      <c r="B33" s="1">
        <f>SUMPRODUCT(lx,wa,ma)</f>
        <v>22.108746109300114</v>
      </c>
      <c r="G33">
        <f>SUMPRODUCT(dlz3_,wa,ma)</f>
        <v>-82.56527018491343</v>
      </c>
      <c r="H33">
        <f>Ro/(reck-1)*phie/phif^2*dphif</f>
        <v>-9.5974445449721948</v>
      </c>
      <c r="J33" s="8" t="s">
        <v>54</v>
      </c>
      <c r="K33">
        <v>0</v>
      </c>
      <c r="L33">
        <f t="shared" ref="L33:AH33" si="19">K33*sa-K$7*K20*K$10</f>
        <v>-7.0208809086557081E-3</v>
      </c>
      <c r="M33">
        <f t="shared" si="19"/>
        <v>-7.0983537278007033E-2</v>
      </c>
      <c r="N33">
        <f t="shared" si="19"/>
        <v>-0.40399738511546845</v>
      </c>
      <c r="O33">
        <f t="shared" si="19"/>
        <v>-0.81806672873651354</v>
      </c>
      <c r="P33">
        <f t="shared" si="19"/>
        <v>-1.0715172789648963</v>
      </c>
      <c r="Q33">
        <f t="shared" si="19"/>
        <v>-1.1952397420202971</v>
      </c>
      <c r="R33">
        <f t="shared" si="19"/>
        <v>-1.2093001489592852</v>
      </c>
      <c r="S33">
        <f t="shared" si="19"/>
        <v>-1.1424106928609778</v>
      </c>
      <c r="T33">
        <f t="shared" si="19"/>
        <v>-1.0421726450711921</v>
      </c>
      <c r="U33">
        <f t="shared" si="19"/>
        <v>-0.92987336043702995</v>
      </c>
      <c r="V33">
        <f t="shared" si="19"/>
        <v>-0.81640153939359783</v>
      </c>
      <c r="W33">
        <f t="shared" si="19"/>
        <v>-0.70797140158372052</v>
      </c>
      <c r="X33">
        <f t="shared" si="19"/>
        <v>-0.60796937728938438</v>
      </c>
      <c r="Y33">
        <f t="shared" si="19"/>
        <v>-0.51797842486779666</v>
      </c>
      <c r="Z33">
        <f t="shared" si="19"/>
        <v>-0.43844136731297645</v>
      </c>
      <c r="AA33">
        <f t="shared" si="19"/>
        <v>-0.36910281287004193</v>
      </c>
      <c r="AB33">
        <f t="shared" si="19"/>
        <v>-0.30930411333176278</v>
      </c>
      <c r="AC33">
        <f t="shared" si="19"/>
        <v>-0.25817843085847925</v>
      </c>
      <c r="AD33">
        <f t="shared" si="19"/>
        <v>-0.2147773474629428</v>
      </c>
      <c r="AE33">
        <f t="shared" si="19"/>
        <v>-0.17815057364141959</v>
      </c>
      <c r="AF33">
        <f t="shared" si="19"/>
        <v>-0.14739374029983335</v>
      </c>
      <c r="AG33">
        <f t="shared" si="19"/>
        <v>-0.12167474157512667</v>
      </c>
      <c r="AH33">
        <f t="shared" si="19"/>
        <v>-0.10024593322437735</v>
      </c>
      <c r="AI33">
        <f>(AH33*sa-AH$7*AH20*AH$10)/oa-AH$7*AH$10*flt3_*sa/oa^2</f>
        <v>-0.45545865839712463</v>
      </c>
    </row>
    <row r="34" spans="1:35">
      <c r="A34" t="s">
        <v>27</v>
      </c>
      <c r="B34" s="1">
        <f>SUMPRODUCT(lz,wa,ma)</f>
        <v>8.8435076314939938</v>
      </c>
      <c r="G34" t="s">
        <v>57</v>
      </c>
      <c r="J34" s="8"/>
    </row>
    <row r="35" spans="1:35">
      <c r="A35" t="s">
        <v>33</v>
      </c>
      <c r="B35" s="1">
        <f>SUMPRODUCT(lz,ta1_)</f>
        <v>1.0760110083049395</v>
      </c>
      <c r="C35" s="10"/>
      <c r="G35" s="1">
        <f>SUM(dqa11_)</f>
        <v>229.37074646477896</v>
      </c>
      <c r="H35" s="1">
        <f>SUM(dqa12_)</f>
        <v>235.24178508257899</v>
      </c>
      <c r="I35" s="11">
        <f>SUM(dqa13_)</f>
        <v>231.02148054909264</v>
      </c>
      <c r="J35" s="8" t="s">
        <v>62</v>
      </c>
      <c r="K35">
        <f>flt1_*qa1_+lz*wa*flt1_^2/za*(sa-oa/za)</f>
        <v>3.4539343584450578E-37</v>
      </c>
      <c r="L35">
        <f t="shared" ref="L35:AI35" si="20">flt1_*qa1_+lz*wa*flt1_^2/za*(sa-oa/za)</f>
        <v>1.7222512297869155E-27</v>
      </c>
      <c r="M35">
        <f t="shared" si="20"/>
        <v>1.5827184414131404E-19</v>
      </c>
      <c r="N35">
        <f t="shared" si="20"/>
        <v>8.1427513292822552E-13</v>
      </c>
      <c r="O35">
        <f t="shared" si="20"/>
        <v>1.8091649834391212E-7</v>
      </c>
      <c r="P35">
        <f t="shared" si="20"/>
        <v>2.0196764920302695E-4</v>
      </c>
      <c r="Q35">
        <f t="shared" si="20"/>
        <v>3.7376045215689699E-2</v>
      </c>
      <c r="R35">
        <f t="shared" si="20"/>
        <v>1.9593464818112465</v>
      </c>
      <c r="S35">
        <f t="shared" si="20"/>
        <v>7.6817066218441301</v>
      </c>
      <c r="T35">
        <f t="shared" si="20"/>
        <v>9.9586615012633892</v>
      </c>
      <c r="U35">
        <f t="shared" si="20"/>
        <v>11.039189108084571</v>
      </c>
      <c r="V35">
        <f t="shared" si="20"/>
        <v>11.859967745707765</v>
      </c>
      <c r="W35">
        <f t="shared" si="20"/>
        <v>12.536001131974876</v>
      </c>
      <c r="X35">
        <f t="shared" si="20"/>
        <v>13.093813375456472</v>
      </c>
      <c r="Y35">
        <f t="shared" si="20"/>
        <v>13.551462652242305</v>
      </c>
      <c r="Z35">
        <f t="shared" si="20"/>
        <v>13.925016820387292</v>
      </c>
      <c r="AA35">
        <f t="shared" si="20"/>
        <v>14.228717697931973</v>
      </c>
      <c r="AB35">
        <f t="shared" si="20"/>
        <v>14.474886257333583</v>
      </c>
      <c r="AC35">
        <f t="shared" si="20"/>
        <v>14.673978058853905</v>
      </c>
      <c r="AD35">
        <f t="shared" si="20"/>
        <v>14.834740148484046</v>
      </c>
      <c r="AE35">
        <f t="shared" si="20"/>
        <v>14.964413051300951</v>
      </c>
      <c r="AF35">
        <f t="shared" si="20"/>
        <v>15.068942532885849</v>
      </c>
      <c r="AG35">
        <f t="shared" si="20"/>
        <v>15.153181529816225</v>
      </c>
      <c r="AH35">
        <f t="shared" si="20"/>
        <v>15.221072615520546</v>
      </c>
      <c r="AI35">
        <f t="shared" si="20"/>
        <v>15.108070940097631</v>
      </c>
    </row>
    <row r="36" spans="1:35">
      <c r="A36" t="s">
        <v>34</v>
      </c>
      <c r="B36" s="1">
        <f>SUMPRODUCT(lz,ta2_)</f>
        <v>1.0509876075857976</v>
      </c>
      <c r="C36" s="10"/>
      <c r="G36" s="1">
        <f>SUM(dqa21_)</f>
        <v>235.24178508257899</v>
      </c>
      <c r="H36" s="1">
        <f>SUM(dqa22_)</f>
        <v>5.4221020836324332</v>
      </c>
      <c r="I36" s="11">
        <f>SUM(dqa23_)</f>
        <v>232.90017498146361</v>
      </c>
      <c r="J36" s="8" t="s">
        <v>63</v>
      </c>
      <c r="K36">
        <f t="shared" ref="K36:AI36" si="21">flt2_*qa2_+lz*wa*flt2_^2/za*(sa-oa/za)</f>
        <v>6.9165042955851269E-53</v>
      </c>
      <c r="L36">
        <f t="shared" si="21"/>
        <v>4.8169674809685944E-35</v>
      </c>
      <c r="M36">
        <f t="shared" si="21"/>
        <v>1.3892579449991873E-17</v>
      </c>
      <c r="N36">
        <f t="shared" si="21"/>
        <v>0.69085908927720818</v>
      </c>
      <c r="O36">
        <f t="shared" si="21"/>
        <v>1.9692975770945005</v>
      </c>
      <c r="P36">
        <f t="shared" si="21"/>
        <v>1.25221746993385</v>
      </c>
      <c r="Q36">
        <f t="shared" si="21"/>
        <v>0.72408849299592426</v>
      </c>
      <c r="R36">
        <f t="shared" si="21"/>
        <v>0.38911946261885005</v>
      </c>
      <c r="S36">
        <f t="shared" si="21"/>
        <v>0.20044444534914188</v>
      </c>
      <c r="T36">
        <f t="shared" si="21"/>
        <v>0.10105202560728563</v>
      </c>
      <c r="U36">
        <f t="shared" si="21"/>
        <v>4.971561938930967E-2</v>
      </c>
      <c r="V36">
        <f t="shared" si="21"/>
        <v>2.3976047934362196E-2</v>
      </c>
      <c r="W36">
        <f t="shared" si="21"/>
        <v>1.1386766858271523E-2</v>
      </c>
      <c r="X36">
        <f t="shared" si="21"/>
        <v>5.3442842969016642E-3</v>
      </c>
      <c r="Y36">
        <f t="shared" si="21"/>
        <v>2.4853919470743452E-3</v>
      </c>
      <c r="Z36">
        <f t="shared" si="21"/>
        <v>1.1475991957183244E-3</v>
      </c>
      <c r="AA36">
        <f t="shared" si="21"/>
        <v>5.2692185216598954E-4</v>
      </c>
      <c r="AB36">
        <f t="shared" si="21"/>
        <v>2.4086939271838952E-4</v>
      </c>
      <c r="AC36">
        <f t="shared" si="21"/>
        <v>1.0972368246355382E-4</v>
      </c>
      <c r="AD36">
        <f t="shared" si="21"/>
        <v>4.9844647441232949E-5</v>
      </c>
      <c r="AE36">
        <f t="shared" si="21"/>
        <v>2.2593544231667807E-5</v>
      </c>
      <c r="AF36">
        <f t="shared" si="21"/>
        <v>1.0223357667267685E-5</v>
      </c>
      <c r="AG36">
        <f t="shared" si="21"/>
        <v>4.6195610748650381E-6</v>
      </c>
      <c r="AH36">
        <f t="shared" si="21"/>
        <v>2.0851065817997094E-6</v>
      </c>
      <c r="AI36">
        <f t="shared" si="21"/>
        <v>9.2998969091024857E-7</v>
      </c>
    </row>
    <row r="37" spans="1:35">
      <c r="A37" t="s">
        <v>35</v>
      </c>
      <c r="B37" s="1">
        <f>SUMPRODUCT(lz,ta3_)</f>
        <v>2.9413091183279838</v>
      </c>
      <c r="C37" s="10"/>
      <c r="G37" s="1">
        <f>SUM(dqa31_)</f>
        <v>231.02148054909264</v>
      </c>
      <c r="H37" s="1">
        <f>SUM(dqa32_)</f>
        <v>232.90017498146361</v>
      </c>
      <c r="I37" s="1">
        <f>SUM(dqa33_)</f>
        <v>93.946286415932036</v>
      </c>
      <c r="J37" s="8" t="s">
        <v>64</v>
      </c>
      <c r="K37">
        <f t="shared" ref="K37:AI37" si="22">flt3_*qa3_+lz*wa*flt3_^2/za*(sa-oa/za)</f>
        <v>4.4771219347197332E-6</v>
      </c>
      <c r="L37">
        <f t="shared" si="22"/>
        <v>3.4268522633278007E-3</v>
      </c>
      <c r="M37">
        <f t="shared" si="22"/>
        <v>0.36733862007497764</v>
      </c>
      <c r="N37">
        <f t="shared" si="22"/>
        <v>2.1354886441404473</v>
      </c>
      <c r="O37">
        <f t="shared" si="22"/>
        <v>3.5404230528525664</v>
      </c>
      <c r="P37">
        <f t="shared" si="22"/>
        <v>4.5896790261027469</v>
      </c>
      <c r="Q37">
        <f t="shared" si="22"/>
        <v>5.3498447191612035</v>
      </c>
      <c r="R37">
        <f t="shared" si="22"/>
        <v>5.7899500583432602</v>
      </c>
      <c r="S37">
        <f t="shared" si="22"/>
        <v>6.0061337398056303</v>
      </c>
      <c r="T37">
        <f t="shared" si="22"/>
        <v>6.0975079812228516</v>
      </c>
      <c r="U37">
        <f t="shared" si="22"/>
        <v>6.0409656442948165</v>
      </c>
      <c r="V37">
        <f t="shared" si="22"/>
        <v>5.8667454951334657</v>
      </c>
      <c r="W37">
        <f t="shared" si="22"/>
        <v>5.6108184504099139</v>
      </c>
      <c r="X37">
        <f t="shared" si="22"/>
        <v>5.3029981808084159</v>
      </c>
      <c r="Y37">
        <f t="shared" si="22"/>
        <v>4.9662999863678499</v>
      </c>
      <c r="Z37">
        <f t="shared" si="22"/>
        <v>4.6177927228235776</v>
      </c>
      <c r="AA37">
        <f t="shared" si="22"/>
        <v>4.2696919913744784</v>
      </c>
      <c r="AB37">
        <f t="shared" si="22"/>
        <v>3.9304121364032012</v>
      </c>
      <c r="AC37">
        <f t="shared" si="22"/>
        <v>3.6054791333738514</v>
      </c>
      <c r="AD37">
        <f t="shared" si="22"/>
        <v>3.2982781493700846</v>
      </c>
      <c r="AE37">
        <f t="shared" si="22"/>
        <v>3.0106429302486628</v>
      </c>
      <c r="AF37">
        <f t="shared" si="22"/>
        <v>2.7433080555669846</v>
      </c>
      <c r="AG37">
        <f t="shared" si="22"/>
        <v>2.496248830326707</v>
      </c>
      <c r="AH37">
        <f t="shared" si="22"/>
        <v>2.2689324042101382</v>
      </c>
      <c r="AI37">
        <f t="shared" si="22"/>
        <v>2.0378751341309473</v>
      </c>
    </row>
    <row r="38" spans="1:35">
      <c r="A38" s="1" t="s">
        <v>36</v>
      </c>
      <c r="B38" s="1">
        <f>SUMPRODUCT(lz,qa1_)</f>
        <v>14.285488810557478</v>
      </c>
      <c r="G38" t="s">
        <v>69</v>
      </c>
      <c r="J38" s="8" t="s">
        <v>60</v>
      </c>
      <c r="K38">
        <f t="shared" ref="K38:AI38" si="23">flt1_*qa1_+lz*wa*flt2_*flt1_/za*(sa-oa/za)</f>
        <v>6.7392373231872417E-37</v>
      </c>
      <c r="L38">
        <f t="shared" si="23"/>
        <v>2.9659805412175568E-27</v>
      </c>
      <c r="M38">
        <f t="shared" si="23"/>
        <v>-5.8534727249868956E-19</v>
      </c>
      <c r="N38">
        <f t="shared" si="23"/>
        <v>-3.2624101217183102E-7</v>
      </c>
      <c r="O38">
        <f t="shared" si="23"/>
        <v>-1.9397734358719289E-4</v>
      </c>
      <c r="P38">
        <f t="shared" si="23"/>
        <v>-3.6573015790991223E-3</v>
      </c>
      <c r="Q38">
        <f t="shared" si="23"/>
        <v>1.298877660215432E-2</v>
      </c>
      <c r="R38">
        <f t="shared" si="23"/>
        <v>2.1240440722092746</v>
      </c>
      <c r="S38">
        <f t="shared" si="23"/>
        <v>8.4425700054717936</v>
      </c>
      <c r="T38">
        <f t="shared" si="23"/>
        <v>10.772350462748998</v>
      </c>
      <c r="U38">
        <f t="shared" si="23"/>
        <v>11.763128231184746</v>
      </c>
      <c r="V38">
        <f t="shared" si="23"/>
        <v>12.480323155695462</v>
      </c>
      <c r="W38">
        <f t="shared" si="23"/>
        <v>13.057657440692781</v>
      </c>
      <c r="X38">
        <f t="shared" si="23"/>
        <v>13.526847543517732</v>
      </c>
      <c r="Y38">
        <f t="shared" si="23"/>
        <v>13.90759551063959</v>
      </c>
      <c r="Z38">
        <f t="shared" si="23"/>
        <v>14.215915335807001</v>
      </c>
      <c r="AA38">
        <f t="shared" si="23"/>
        <v>14.465143364965495</v>
      </c>
      <c r="AB38">
        <f t="shared" si="23"/>
        <v>14.666331776657652</v>
      </c>
      <c r="AC38">
        <f t="shared" si="23"/>
        <v>14.828580943132801</v>
      </c>
      <c r="AD38">
        <f t="shared" si="23"/>
        <v>14.959343052115154</v>
      </c>
      <c r="AE38">
        <f t="shared" si="23"/>
        <v>15.064693054962278</v>
      </c>
      <c r="AF38">
        <f t="shared" si="23"/>
        <v>15.149564831268449</v>
      </c>
      <c r="AG38">
        <f t="shared" si="23"/>
        <v>15.217953359044008</v>
      </c>
      <c r="AH38">
        <f t="shared" si="23"/>
        <v>15.273085393929861</v>
      </c>
      <c r="AI38">
        <f t="shared" si="23"/>
        <v>15.317520377097495</v>
      </c>
    </row>
    <row r="39" spans="1:35">
      <c r="A39" s="1" t="s">
        <v>37</v>
      </c>
      <c r="B39" s="1">
        <f>SUMPRODUCT(lz,qa2_)</f>
        <v>6.3941905939224384</v>
      </c>
      <c r="G39" s="1">
        <f>re*phi_q1+f1_*phi_q1*$H31+f1_*re*G35</f>
        <v>106.66290824276746</v>
      </c>
      <c r="H39" s="1">
        <f>re*phi_q1+f1_*phi_q1*$H32+f1_*re*H35</f>
        <v>111.94096218429851</v>
      </c>
      <c r="I39" s="1">
        <f>re*phi_q1+f1_*phi_q1*$H33+f1_*re*I35</f>
        <v>104.6119097867026</v>
      </c>
      <c r="J39" s="8" t="s">
        <v>66</v>
      </c>
      <c r="K39">
        <f t="shared" ref="K39:AI39" si="24">flt1_*qa1_+lz*wa*flt3_*flt1_/za*(sa-oa/za)</f>
        <v>-1.1828178046807442E-21</v>
      </c>
      <c r="L39">
        <f t="shared" si="24"/>
        <v>-1.7546800807135329E-15</v>
      </c>
      <c r="M39">
        <f t="shared" si="24"/>
        <v>-1.3536690517314672E-10</v>
      </c>
      <c r="N39">
        <f t="shared" si="24"/>
        <v>-5.7357884073566781E-7</v>
      </c>
      <c r="O39">
        <f t="shared" si="24"/>
        <v>-2.6017128062760287E-4</v>
      </c>
      <c r="P39">
        <f t="shared" si="24"/>
        <v>-7.2319311773676115E-3</v>
      </c>
      <c r="Q39">
        <f t="shared" si="24"/>
        <v>-4.1230916641088217E-2</v>
      </c>
      <c r="R39">
        <f t="shared" si="24"/>
        <v>1.7457275487504988</v>
      </c>
      <c r="S39">
        <f t="shared" si="24"/>
        <v>7.786755673712487</v>
      </c>
      <c r="T39">
        <f t="shared" si="24"/>
        <v>10.155477387945931</v>
      </c>
      <c r="U39">
        <f t="shared" si="24"/>
        <v>11.241147890967406</v>
      </c>
      <c r="V39">
        <f t="shared" si="24"/>
        <v>12.052675418548958</v>
      </c>
      <c r="W39">
        <f t="shared" si="24"/>
        <v>12.714028836560161</v>
      </c>
      <c r="X39">
        <f t="shared" si="24"/>
        <v>13.254512767384485</v>
      </c>
      <c r="Y39">
        <f t="shared" si="24"/>
        <v>13.693931533723838</v>
      </c>
      <c r="Z39">
        <f t="shared" si="24"/>
        <v>14.049527905453768</v>
      </c>
      <c r="AA39">
        <f t="shared" si="24"/>
        <v>14.336285961058552</v>
      </c>
      <c r="AB39">
        <f t="shared" si="24"/>
        <v>14.566947265722842</v>
      </c>
      <c r="AC39">
        <f t="shared" si="24"/>
        <v>14.752160085623389</v>
      </c>
      <c r="AD39">
        <f t="shared" si="24"/>
        <v>14.900710736917109</v>
      </c>
      <c r="AE39">
        <f t="shared" si="24"/>
        <v>15.019781640797827</v>
      </c>
      <c r="AF39">
        <f t="shared" si="24"/>
        <v>15.115203518741023</v>
      </c>
      <c r="AG39">
        <f t="shared" si="24"/>
        <v>15.191685369121801</v>
      </c>
      <c r="AH39">
        <f t="shared" si="24"/>
        <v>15.25301562168174</v>
      </c>
      <c r="AI39">
        <f t="shared" si="24"/>
        <v>15.240628979194064</v>
      </c>
    </row>
    <row r="40" spans="1:35">
      <c r="A40" s="1" t="s">
        <v>38</v>
      </c>
      <c r="B40" s="1">
        <f>SUMPRODUCT(lz,qa3_)</f>
        <v>20.918650460965463</v>
      </c>
      <c r="G40" s="1">
        <f>re*phi_q1+f1_*phi_q1*$H32+f1_*re*G36</f>
        <v>111.94096218429851</v>
      </c>
      <c r="H40" s="1">
        <f>re*phi_q2+f2_*phi_q2*$H32+f2_*re*H36</f>
        <v>25.230582701254868</v>
      </c>
      <c r="I40" s="1">
        <f>re*phi_q3+f3_*phi_q3*$H33+f3_*re*I36</f>
        <v>98.256678960348893</v>
      </c>
      <c r="J40" s="8" t="s">
        <v>65</v>
      </c>
      <c r="K40">
        <f t="shared" ref="K40:AI40" si="25">flt1_*qa1_+lz*wa*flt1_*flt2_/za*(sa-oa/za)</f>
        <v>6.7392373231872417E-37</v>
      </c>
      <c r="L40">
        <f t="shared" si="25"/>
        <v>2.9659805412175568E-27</v>
      </c>
      <c r="M40">
        <f t="shared" si="25"/>
        <v>-5.8534727249868956E-19</v>
      </c>
      <c r="N40">
        <f t="shared" si="25"/>
        <v>-3.2624101217183102E-7</v>
      </c>
      <c r="O40">
        <f t="shared" si="25"/>
        <v>-1.9397734358719289E-4</v>
      </c>
      <c r="P40">
        <f t="shared" si="25"/>
        <v>-3.6573015790991223E-3</v>
      </c>
      <c r="Q40">
        <f t="shared" si="25"/>
        <v>1.298877660215432E-2</v>
      </c>
      <c r="R40">
        <f t="shared" si="25"/>
        <v>2.1240440722092746</v>
      </c>
      <c r="S40">
        <f t="shared" si="25"/>
        <v>8.4425700054717936</v>
      </c>
      <c r="T40">
        <f t="shared" si="25"/>
        <v>10.772350462748998</v>
      </c>
      <c r="U40">
        <f t="shared" si="25"/>
        <v>11.763128231184746</v>
      </c>
      <c r="V40">
        <f t="shared" si="25"/>
        <v>12.480323155695462</v>
      </c>
      <c r="W40">
        <f t="shared" si="25"/>
        <v>13.057657440692781</v>
      </c>
      <c r="X40">
        <f t="shared" si="25"/>
        <v>13.526847543517732</v>
      </c>
      <c r="Y40">
        <f t="shared" si="25"/>
        <v>13.90759551063959</v>
      </c>
      <c r="Z40">
        <f t="shared" si="25"/>
        <v>14.215915335807001</v>
      </c>
      <c r="AA40">
        <f t="shared" si="25"/>
        <v>14.465143364965495</v>
      </c>
      <c r="AB40">
        <f t="shared" si="25"/>
        <v>14.666331776657652</v>
      </c>
      <c r="AC40">
        <f t="shared" si="25"/>
        <v>14.828580943132801</v>
      </c>
      <c r="AD40">
        <f t="shared" si="25"/>
        <v>14.959343052115154</v>
      </c>
      <c r="AE40">
        <f t="shared" si="25"/>
        <v>15.064693054962278</v>
      </c>
      <c r="AF40">
        <f t="shared" si="25"/>
        <v>15.149564831268449</v>
      </c>
      <c r="AG40">
        <f t="shared" si="25"/>
        <v>15.217953359044008</v>
      </c>
      <c r="AH40">
        <f t="shared" si="25"/>
        <v>15.273085393929861</v>
      </c>
      <c r="AI40">
        <f t="shared" si="25"/>
        <v>15.317520377097495</v>
      </c>
    </row>
    <row r="41" spans="1:35">
      <c r="G41" s="1">
        <f>re*phi_q1+f1_*phi_q1*$H33+f1_*re*G37</f>
        <v>104.6119097867026</v>
      </c>
      <c r="H41" s="1">
        <f>re*phi_q3+f3_*phi_q3*$H33+f3_*re*H37</f>
        <v>98.256678960348893</v>
      </c>
      <c r="I41" s="1">
        <f>re*phi_q3+f1_*phi_q3*$H33+f3_*re*I37</f>
        <v>77.473259612946308</v>
      </c>
      <c r="J41" s="8" t="s">
        <v>67</v>
      </c>
      <c r="K41">
        <f t="shared" ref="K41:AI41" si="26">flt1_*qa1_+lz*wa*flt3_*flt2_/za*(sa-oa/za)</f>
        <v>-1.6738021502895488E-29</v>
      </c>
      <c r="L41">
        <f t="shared" si="26"/>
        <v>-2.9345164408181676E-19</v>
      </c>
      <c r="M41">
        <f t="shared" si="26"/>
        <v>-1.2682419486515965E-9</v>
      </c>
      <c r="N41">
        <f t="shared" si="26"/>
        <v>-0.52832742902068597</v>
      </c>
      <c r="O41">
        <f t="shared" si="26"/>
        <v>-0.85916365604788481</v>
      </c>
      <c r="P41">
        <f t="shared" si="26"/>
        <v>-0.58900729808973984</v>
      </c>
      <c r="Q41">
        <f t="shared" si="26"/>
        <v>-0.33299852599264002</v>
      </c>
      <c r="R41">
        <f t="shared" si="26"/>
        <v>2.0288465603280863</v>
      </c>
      <c r="S41">
        <f t="shared" si="26"/>
        <v>8.4595391633981158</v>
      </c>
      <c r="T41">
        <f t="shared" si="26"/>
        <v>10.792176329247537</v>
      </c>
      <c r="U41">
        <f t="shared" si="26"/>
        <v>11.776681391810449</v>
      </c>
      <c r="V41">
        <f t="shared" si="26"/>
        <v>12.488987706488931</v>
      </c>
      <c r="W41">
        <f t="shared" si="26"/>
        <v>13.063022917170413</v>
      </c>
      <c r="X41">
        <f t="shared" si="26"/>
        <v>13.530094122229455</v>
      </c>
      <c r="Y41">
        <f t="shared" si="26"/>
        <v>13.909524919958685</v>
      </c>
      <c r="Z41">
        <f t="shared" si="26"/>
        <v>14.217045665850986</v>
      </c>
      <c r="AA41">
        <f t="shared" si="26"/>
        <v>14.465797962521739</v>
      </c>
      <c r="AB41">
        <f t="shared" si="26"/>
        <v>14.666707319039643</v>
      </c>
      <c r="AC41">
        <f t="shared" si="26"/>
        <v>14.828794731061405</v>
      </c>
      <c r="AD41">
        <f t="shared" si="26"/>
        <v>14.959463978104823</v>
      </c>
      <c r="AE41">
        <f t="shared" si="26"/>
        <v>15.064761088929799</v>
      </c>
      <c r="AF41">
        <f t="shared" si="26"/>
        <v>15.149602935242509</v>
      </c>
      <c r="AG41">
        <f t="shared" si="26"/>
        <v>15.217974618516283</v>
      </c>
      <c r="AH41">
        <f t="shared" si="26"/>
        <v>15.27309721664664</v>
      </c>
      <c r="AI41">
        <f t="shared" si="26"/>
        <v>15.317553265337304</v>
      </c>
    </row>
    <row r="42" spans="1:35">
      <c r="A42" s="15" t="s">
        <v>39</v>
      </c>
      <c r="B42" s="16"/>
      <c r="C42" s="16"/>
      <c r="J42" s="8" t="s">
        <v>68</v>
      </c>
      <c r="K42">
        <f t="shared" ref="K42:AI42" si="27">flt1_*qa1_+lz*wa*flt1_*flt3_/za*(sa-oa/za)</f>
        <v>-1.1828178046807442E-21</v>
      </c>
      <c r="L42">
        <f t="shared" si="27"/>
        <v>-1.7546800807135329E-15</v>
      </c>
      <c r="M42">
        <f t="shared" si="27"/>
        <v>-1.3536690517314667E-10</v>
      </c>
      <c r="N42">
        <f t="shared" si="27"/>
        <v>-5.7357884073566781E-7</v>
      </c>
      <c r="O42">
        <f t="shared" si="27"/>
        <v>-2.6017128062760293E-4</v>
      </c>
      <c r="P42">
        <f t="shared" si="27"/>
        <v>-7.2319311773676115E-3</v>
      </c>
      <c r="Q42">
        <f t="shared" si="27"/>
        <v>-4.1230916641088217E-2</v>
      </c>
      <c r="R42">
        <f t="shared" si="27"/>
        <v>1.7457275487504988</v>
      </c>
      <c r="S42">
        <f t="shared" si="27"/>
        <v>7.786755673712487</v>
      </c>
      <c r="T42">
        <f t="shared" si="27"/>
        <v>10.155477387945931</v>
      </c>
      <c r="U42">
        <f t="shared" si="27"/>
        <v>11.241147890967406</v>
      </c>
      <c r="V42">
        <f t="shared" si="27"/>
        <v>12.052675418548958</v>
      </c>
      <c r="W42">
        <f t="shared" si="27"/>
        <v>12.714028836560161</v>
      </c>
      <c r="X42">
        <f t="shared" si="27"/>
        <v>13.254512767384485</v>
      </c>
      <c r="Y42">
        <f t="shared" si="27"/>
        <v>13.693931533723838</v>
      </c>
      <c r="Z42">
        <f t="shared" si="27"/>
        <v>14.049527905453768</v>
      </c>
      <c r="AA42">
        <f t="shared" si="27"/>
        <v>14.336285961058552</v>
      </c>
      <c r="AB42">
        <f t="shared" si="27"/>
        <v>14.566947265722842</v>
      </c>
      <c r="AC42">
        <f t="shared" si="27"/>
        <v>14.752160085623389</v>
      </c>
      <c r="AD42">
        <f t="shared" si="27"/>
        <v>14.900710736917109</v>
      </c>
      <c r="AE42">
        <f t="shared" si="27"/>
        <v>15.019781640797827</v>
      </c>
      <c r="AF42">
        <f t="shared" si="27"/>
        <v>15.115203518741023</v>
      </c>
      <c r="AG42">
        <f t="shared" si="27"/>
        <v>15.191685369121801</v>
      </c>
      <c r="AH42">
        <f t="shared" si="27"/>
        <v>15.25301562168174</v>
      </c>
      <c r="AI42">
        <f t="shared" si="27"/>
        <v>15.240628979194064</v>
      </c>
    </row>
    <row r="43" spans="1:35">
      <c r="A43" s="1" t="s">
        <v>40</v>
      </c>
      <c r="B43" s="1">
        <f>phif/phie</f>
        <v>0.40000041557191451</v>
      </c>
      <c r="J43" s="8" t="s">
        <v>61</v>
      </c>
      <c r="K43">
        <f t="shared" ref="K43:AI43" si="28">flt1_*qa1_+lz*wa*flt2_*flt3_/za*(sa-oa/za)</f>
        <v>-1.6738021502895488E-29</v>
      </c>
      <c r="L43">
        <f t="shared" si="28"/>
        <v>-2.9345164408181676E-19</v>
      </c>
      <c r="M43">
        <f t="shared" si="28"/>
        <v>-1.2682419486515965E-9</v>
      </c>
      <c r="N43">
        <f t="shared" si="28"/>
        <v>-0.52832742902068597</v>
      </c>
      <c r="O43">
        <f t="shared" si="28"/>
        <v>-0.85916365604788481</v>
      </c>
      <c r="P43">
        <f t="shared" si="28"/>
        <v>-0.58900729808973984</v>
      </c>
      <c r="Q43">
        <f t="shared" si="28"/>
        <v>-0.33299852599264013</v>
      </c>
      <c r="R43">
        <f t="shared" si="28"/>
        <v>2.0288465603280863</v>
      </c>
      <c r="S43">
        <f t="shared" si="28"/>
        <v>8.4595391633981158</v>
      </c>
      <c r="T43">
        <f t="shared" si="28"/>
        <v>10.792176329247537</v>
      </c>
      <c r="U43">
        <f t="shared" si="28"/>
        <v>11.776681391810449</v>
      </c>
      <c r="V43">
        <f t="shared" si="28"/>
        <v>12.488987706488931</v>
      </c>
      <c r="W43">
        <f t="shared" si="28"/>
        <v>13.063022917170413</v>
      </c>
      <c r="X43">
        <f t="shared" si="28"/>
        <v>13.530094122229455</v>
      </c>
      <c r="Y43">
        <f t="shared" si="28"/>
        <v>13.909524919958685</v>
      </c>
      <c r="Z43">
        <f t="shared" si="28"/>
        <v>14.217045665850986</v>
      </c>
      <c r="AA43">
        <f t="shared" si="28"/>
        <v>14.465797962521739</v>
      </c>
      <c r="AB43">
        <f t="shared" si="28"/>
        <v>14.666707319039643</v>
      </c>
      <c r="AC43">
        <f t="shared" si="28"/>
        <v>14.828794731061405</v>
      </c>
      <c r="AD43">
        <f t="shared" si="28"/>
        <v>14.959463978104823</v>
      </c>
      <c r="AE43">
        <f t="shared" si="28"/>
        <v>15.064761088929799</v>
      </c>
      <c r="AF43">
        <f t="shared" si="28"/>
        <v>15.149602935242509</v>
      </c>
      <c r="AG43">
        <f t="shared" si="28"/>
        <v>15.217974618516283</v>
      </c>
      <c r="AH43">
        <f t="shared" si="28"/>
        <v>15.27309721664664</v>
      </c>
      <c r="AI43">
        <f t="shared" si="28"/>
        <v>15.317553265337304</v>
      </c>
    </row>
    <row r="44" spans="1:35">
      <c r="A44" s="1" t="s">
        <v>41</v>
      </c>
      <c r="B44" s="11">
        <f>MAX(0,Ro*(reck-1/spr)/(reck-1))</f>
        <v>3.9063119884181621</v>
      </c>
    </row>
    <row r="45" spans="1:35">
      <c r="A45" s="1" t="s">
        <v>43</v>
      </c>
      <c r="B45" s="1">
        <f>f1_*re*phi_q1</f>
        <v>3.5587940247581007</v>
      </c>
      <c r="C45" s="20">
        <f>ye_1/SUM(ye_1,ye_2,ye_3)</f>
        <v>0.50151347499037002</v>
      </c>
      <c r="J45" s="2" t="s">
        <v>87</v>
      </c>
    </row>
    <row r="46" spans="1:35" ht="19" thickBot="1">
      <c r="A46" s="1" t="s">
        <v>44</v>
      </c>
      <c r="B46" s="1">
        <f>f2_*re*phi_q2</f>
        <v>1.6308418823404538</v>
      </c>
      <c r="C46" s="20">
        <f>ye_2/SUM(ye_1,ye_2,ye_3)</f>
        <v>0.22982200539914385</v>
      </c>
      <c r="G46" s="32" t="s">
        <v>94</v>
      </c>
      <c r="H46" s="32"/>
      <c r="I46" s="32"/>
      <c r="J46" s="8" t="s">
        <v>75</v>
      </c>
      <c r="K46">
        <f t="shared" ref="K46:AI46" si="29">lz*qa1_</f>
        <v>2.9739573029979386E-19</v>
      </c>
      <c r="L46">
        <f t="shared" si="29"/>
        <v>4.0933263273259336E-14</v>
      </c>
      <c r="M46">
        <f t="shared" si="29"/>
        <v>5.0459269056154242E-10</v>
      </c>
      <c r="N46">
        <f t="shared" si="29"/>
        <v>1.2256907647783144E-6</v>
      </c>
      <c r="O46">
        <f t="shared" si="29"/>
        <v>5.4547377503913713E-4</v>
      </c>
      <c r="P46">
        <f t="shared" si="29"/>
        <v>1.6331387464563217E-2</v>
      </c>
      <c r="Q46">
        <f t="shared" si="29"/>
        <v>0.19644063797305431</v>
      </c>
      <c r="R46">
        <f t="shared" si="29"/>
        <v>1.233530766449527</v>
      </c>
      <c r="S46">
        <f t="shared" si="29"/>
        <v>2.0449051130620219</v>
      </c>
      <c r="T46">
        <f t="shared" si="29"/>
        <v>1.896981399797429</v>
      </c>
      <c r="U46">
        <f t="shared" si="29"/>
        <v>1.6161770606437895</v>
      </c>
      <c r="V46">
        <f t="shared" si="29"/>
        <v>1.3516233858606703</v>
      </c>
      <c r="W46">
        <f t="shared" si="29"/>
        <v>1.1188431356871593</v>
      </c>
      <c r="X46">
        <f t="shared" si="29"/>
        <v>0.91914346707360617</v>
      </c>
      <c r="Y46">
        <f t="shared" si="29"/>
        <v>0.75067925273437219</v>
      </c>
      <c r="Z46">
        <f t="shared" si="29"/>
        <v>0.61032305158685851</v>
      </c>
      <c r="AA46">
        <f t="shared" si="29"/>
        <v>0.49448150440593569</v>
      </c>
      <c r="AB46">
        <f t="shared" si="29"/>
        <v>0.39955725546209203</v>
      </c>
      <c r="AC46">
        <f t="shared" si="29"/>
        <v>0.32219961239964373</v>
      </c>
      <c r="AD46">
        <f t="shared" si="29"/>
        <v>0.25942222727346631</v>
      </c>
      <c r="AE46">
        <f t="shared" si="29"/>
        <v>0.20864022765145632</v>
      </c>
      <c r="AF46">
        <f t="shared" si="29"/>
        <v>0.16766146292179515</v>
      </c>
      <c r="AG46">
        <f t="shared" si="29"/>
        <v>0.13465399073802511</v>
      </c>
      <c r="AH46">
        <f t="shared" si="29"/>
        <v>0.10810337433794016</v>
      </c>
      <c r="AI46">
        <f t="shared" si="29"/>
        <v>0.43524379706363531</v>
      </c>
    </row>
    <row r="47" spans="1:35" ht="19" thickTop="1">
      <c r="A47" s="1" t="s">
        <v>45</v>
      </c>
      <c r="B47" s="1">
        <f>f3_*re*phi_q3</f>
        <v>1.9064725769784412</v>
      </c>
      <c r="C47" s="20">
        <f>ye_3/SUM(ye_1,ye_2,ye_3)</f>
        <v>0.26866451961048615</v>
      </c>
      <c r="F47" t="s">
        <v>84</v>
      </c>
      <c r="G47" s="31">
        <f>G39/G53</f>
        <v>0.99999999999999989</v>
      </c>
      <c r="H47" s="31">
        <f>H53/H39</f>
        <v>0.46342698115711373</v>
      </c>
      <c r="I47" s="31">
        <f>I53/I39</f>
        <v>0.86896341908385777</v>
      </c>
      <c r="J47" s="8" t="s">
        <v>76</v>
      </c>
      <c r="K47">
        <f t="shared" ref="K47:AI47" si="30">lz*qa2_</f>
        <v>4.2084387885866023E-27</v>
      </c>
      <c r="L47">
        <f t="shared" si="30"/>
        <v>6.8456544635091977E-18</v>
      </c>
      <c r="M47">
        <f t="shared" si="30"/>
        <v>4.7274894501797385E-9</v>
      </c>
      <c r="N47">
        <f t="shared" si="30"/>
        <v>1.1289899231989591</v>
      </c>
      <c r="O47">
        <f t="shared" si="30"/>
        <v>1.7996599931143515</v>
      </c>
      <c r="P47">
        <f t="shared" si="30"/>
        <v>1.2859440003713325</v>
      </c>
      <c r="Q47">
        <f t="shared" si="30"/>
        <v>0.86463036920485192</v>
      </c>
      <c r="R47">
        <f t="shared" si="30"/>
        <v>0.54971279049266863</v>
      </c>
      <c r="S47">
        <f t="shared" si="30"/>
        <v>0.33032490242158918</v>
      </c>
      <c r="T47">
        <f t="shared" si="30"/>
        <v>0.19108874093714404</v>
      </c>
      <c r="U47">
        <f t="shared" si="30"/>
        <v>0.10845929545530708</v>
      </c>
      <c r="V47">
        <f t="shared" si="30"/>
        <v>6.0771889918892479E-2</v>
      </c>
      <c r="W47">
        <f t="shared" si="30"/>
        <v>3.372018159013157E-2</v>
      </c>
      <c r="X47">
        <f t="shared" si="30"/>
        <v>1.8569277564890192E-2</v>
      </c>
      <c r="Y47">
        <f t="shared" si="30"/>
        <v>1.0166202828400148E-2</v>
      </c>
      <c r="Z47">
        <f t="shared" si="30"/>
        <v>5.5406029220380253E-3</v>
      </c>
      <c r="AA47">
        <f t="shared" si="30"/>
        <v>3.0091253217585374E-3</v>
      </c>
      <c r="AB47">
        <f t="shared" si="30"/>
        <v>1.6299048433617567E-3</v>
      </c>
      <c r="AC47">
        <f t="shared" si="30"/>
        <v>8.8105144594590921E-4</v>
      </c>
      <c r="AD47">
        <f t="shared" si="30"/>
        <v>4.7552841835257287E-4</v>
      </c>
      <c r="AE47">
        <f t="shared" si="30"/>
        <v>2.5636597573728854E-4</v>
      </c>
      <c r="AF47">
        <f t="shared" si="30"/>
        <v>1.3809839794059266E-4</v>
      </c>
      <c r="AG47">
        <f t="shared" si="30"/>
        <v>7.434772309625911E-5</v>
      </c>
      <c r="AH47">
        <f t="shared" si="30"/>
        <v>4.0011123912557204E-5</v>
      </c>
      <c r="AI47">
        <f t="shared" si="30"/>
        <v>1.0798592428740779E-4</v>
      </c>
    </row>
    <row r="48" spans="1:35">
      <c r="A48" s="1" t="s">
        <v>72</v>
      </c>
      <c r="B48" s="1">
        <f>SUM(B45:B47)</f>
        <v>7.0961084840769955</v>
      </c>
      <c r="F48" t="s">
        <v>85</v>
      </c>
      <c r="G48" s="31">
        <f>G40/G54</f>
        <v>2.157837244398539</v>
      </c>
      <c r="H48" s="31">
        <f t="shared" ref="H48" si="31">H40/H54</f>
        <v>1</v>
      </c>
      <c r="I48" s="31">
        <f>I54/I40</f>
        <v>0.44996369425021454</v>
      </c>
      <c r="J48" s="8" t="s">
        <v>77</v>
      </c>
      <c r="K48">
        <f t="shared" ref="K48:AI48" si="32">lz*qa3_</f>
        <v>1.070723046342905E-3</v>
      </c>
      <c r="L48">
        <f t="shared" si="32"/>
        <v>5.7739870814961146E-2</v>
      </c>
      <c r="M48">
        <f t="shared" si="32"/>
        <v>0.76872750238285548</v>
      </c>
      <c r="N48">
        <f t="shared" si="32"/>
        <v>1.9849243567323818</v>
      </c>
      <c r="O48">
        <f t="shared" si="32"/>
        <v>2.4130280422983961</v>
      </c>
      <c r="P48">
        <f t="shared" si="32"/>
        <v>2.4619165889507921</v>
      </c>
      <c r="Q48">
        <f t="shared" si="32"/>
        <v>2.350202321923041</v>
      </c>
      <c r="R48">
        <f t="shared" si="32"/>
        <v>2.1204682503473662</v>
      </c>
      <c r="S48">
        <f t="shared" si="32"/>
        <v>1.8081805849065626</v>
      </c>
      <c r="T48">
        <f t="shared" si="32"/>
        <v>1.4843584048561826</v>
      </c>
      <c r="U48">
        <f t="shared" si="32"/>
        <v>1.1955659414597253</v>
      </c>
      <c r="V48">
        <f t="shared" si="32"/>
        <v>0.95063230274680377</v>
      </c>
      <c r="W48">
        <f t="shared" si="32"/>
        <v>0.74851894812871</v>
      </c>
      <c r="X48">
        <f t="shared" si="32"/>
        <v>0.58493952818340589</v>
      </c>
      <c r="Y48">
        <f t="shared" si="32"/>
        <v>0.45444130822858875</v>
      </c>
      <c r="Z48">
        <f t="shared" si="32"/>
        <v>0.35146260740834023</v>
      </c>
      <c r="AA48">
        <f t="shared" si="32"/>
        <v>0.27087282918846306</v>
      </c>
      <c r="AB48">
        <f t="shared" si="32"/>
        <v>0.20820468010296145</v>
      </c>
      <c r="AC48">
        <f t="shared" si="32"/>
        <v>0.15971017081395833</v>
      </c>
      <c r="AD48">
        <f t="shared" si="32"/>
        <v>0.12232376810075457</v>
      </c>
      <c r="AE48">
        <f t="shared" si="32"/>
        <v>9.3583186629964107E-2</v>
      </c>
      <c r="AF48">
        <f t="shared" si="32"/>
        <v>7.1536741199379111E-2</v>
      </c>
      <c r="AG48">
        <f t="shared" si="32"/>
        <v>5.4652653579154387E-2</v>
      </c>
      <c r="AH48">
        <f t="shared" si="32"/>
        <v>4.1737593033572468E-2</v>
      </c>
      <c r="AI48">
        <f t="shared" si="32"/>
        <v>0.15985155590279976</v>
      </c>
    </row>
    <row r="49" spans="1:19">
      <c r="A49" s="1"/>
      <c r="B49" s="1"/>
      <c r="F49" t="s">
        <v>86</v>
      </c>
      <c r="G49" s="31">
        <f>G41/G55</f>
        <v>1.150796429444974</v>
      </c>
      <c r="H49" s="31">
        <f t="shared" ref="H49:I49" si="33">H41/H55</f>
        <v>2.2224015243414792</v>
      </c>
      <c r="I49" s="31">
        <f t="shared" si="33"/>
        <v>1.0000000000000002</v>
      </c>
    </row>
    <row r="50" spans="1:19">
      <c r="A50" s="23" t="s">
        <v>88</v>
      </c>
      <c r="B50" s="35">
        <f>f1_*phi_q1</f>
        <v>0.91103681306295592</v>
      </c>
      <c r="C50">
        <f>AVERAGE(B50:B52)/B50</f>
        <v>0.6646547898632913</v>
      </c>
    </row>
    <row r="51" spans="1:19">
      <c r="A51" s="23" t="s">
        <v>89</v>
      </c>
      <c r="B51" s="35">
        <f>f2_*phi_q2</f>
        <v>0.41748889673322115</v>
      </c>
      <c r="C51">
        <f>AVERAGE(B50:B52)/B51</f>
        <v>1.4503978100548551</v>
      </c>
      <c r="G51" t="s">
        <v>70</v>
      </c>
    </row>
    <row r="52" spans="1:19">
      <c r="A52" s="23" t="s">
        <v>90</v>
      </c>
      <c r="B52" s="35">
        <f>f3_*phi_q3</f>
        <v>0.48804923483606749</v>
      </c>
      <c r="C52">
        <f>AVERAGE(B50:B52)/B52</f>
        <v>1.2407047042036103</v>
      </c>
      <c r="G52" s="1">
        <f>G39^0.5</f>
        <v>10.327773634369001</v>
      </c>
      <c r="H52" s="1">
        <f>H40^0.5</f>
        <v>5.0230053455331767</v>
      </c>
      <c r="I52" s="11">
        <f>I41^0.5</f>
        <v>8.8018895478724506</v>
      </c>
    </row>
    <row r="53" spans="1:19">
      <c r="A53" s="29" t="s">
        <v>91</v>
      </c>
      <c r="B53" s="34">
        <f>phi_t1*f1_</f>
        <v>6.8621077852255519E-2</v>
      </c>
      <c r="C53">
        <f>AVERAGE(B53:B55)/B53</f>
        <v>1.0000096090488186</v>
      </c>
      <c r="G53">
        <f t="shared" ref="G53:I55" si="34">G$52*$J53</f>
        <v>106.66290824276747</v>
      </c>
      <c r="H53">
        <f t="shared" si="34"/>
        <v>51.87646217289209</v>
      </c>
      <c r="I53">
        <f t="shared" si="34"/>
        <v>90.903922805145172</v>
      </c>
      <c r="J53">
        <f t="array" ref="J53:J55">TRANSPOSE(G52:I52)</f>
        <v>10.327773634369001</v>
      </c>
    </row>
    <row r="54" spans="1:19">
      <c r="A54" s="29" t="s">
        <v>92</v>
      </c>
      <c r="B54" s="34">
        <f>phi_t2*f2_</f>
        <v>6.8620984990395886E-2</v>
      </c>
      <c r="C54">
        <f>AVERAGE(B53:B55)/B54</f>
        <v>1.000010962319279</v>
      </c>
      <c r="G54">
        <f t="shared" si="34"/>
        <v>51.87646217289209</v>
      </c>
      <c r="H54">
        <f t="shared" si="34"/>
        <v>25.230582701254868</v>
      </c>
      <c r="I54">
        <f t="shared" si="34"/>
        <v>44.211938249755917</v>
      </c>
      <c r="J54">
        <v>5.0230053455331767</v>
      </c>
    </row>
    <row r="55" spans="1:19">
      <c r="A55" s="29" t="s">
        <v>93</v>
      </c>
      <c r="B55" s="34">
        <f>phi_t3*f3_</f>
        <v>6.8623148863976371E-2</v>
      </c>
      <c r="C55">
        <f>AVERAGE(B53:B55)/B55</f>
        <v>0.99997942926757</v>
      </c>
      <c r="G55">
        <f t="shared" si="34"/>
        <v>90.903922805145172</v>
      </c>
      <c r="H55">
        <f t="shared" si="34"/>
        <v>44.211938249755917</v>
      </c>
      <c r="I55">
        <f t="shared" si="34"/>
        <v>77.473259612946293</v>
      </c>
      <c r="J55">
        <v>8.8018895478724506</v>
      </c>
      <c r="S55" s="33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opLeftCell="M1" workbookViewId="0">
      <selection activeCell="T10" sqref="T10"/>
    </sheetView>
  </sheetViews>
  <sheetFormatPr baseColWidth="10" defaultRowHeight="18" x14ac:dyDescent="0"/>
  <sheetData>
    <row r="1" spans="1:34">
      <c r="A1" t="s">
        <v>111</v>
      </c>
      <c r="B1">
        <f>SUMXMY2(E2:AH3,E9:AH10)</f>
        <v>1.7496211153426346</v>
      </c>
      <c r="D1" t="s">
        <v>116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B2">
        <f>SUMXMY2(E2:AH2,E9:AH9)</f>
        <v>1.6899990794670552</v>
      </c>
      <c r="D2" t="s">
        <v>106</v>
      </c>
      <c r="E2" s="47">
        <v>4.0999999999999999E-7</v>
      </c>
      <c r="F2" s="47">
        <v>2.7E-6</v>
      </c>
      <c r="G2" s="47">
        <v>1.5800000000000001E-5</v>
      </c>
      <c r="H2" s="47">
        <v>8.14E-5</v>
      </c>
      <c r="I2" s="48">
        <v>3.67432E-4</v>
      </c>
      <c r="J2" s="48">
        <v>1.4539500000000001E-3</v>
      </c>
      <c r="K2" s="48">
        <v>5.0454899999999997E-3</v>
      </c>
      <c r="L2" s="48">
        <v>1.5354400000000001E-2</v>
      </c>
      <c r="M2" s="48">
        <v>4.0977E-2</v>
      </c>
      <c r="N2" s="48">
        <v>9.59005E-2</v>
      </c>
      <c r="O2" s="48">
        <v>0.196824</v>
      </c>
      <c r="P2" s="48">
        <v>0.35424899999999998</v>
      </c>
      <c r="Q2" s="48">
        <v>0.55913199999999996</v>
      </c>
      <c r="R2" s="48">
        <v>0.77392000000000005</v>
      </c>
      <c r="S2" s="48">
        <v>0.93940599999999996</v>
      </c>
      <c r="T2" s="48">
        <v>0.99998500000000001</v>
      </c>
      <c r="U2" s="48">
        <v>0.99999700000000002</v>
      </c>
      <c r="V2" s="48">
        <v>1</v>
      </c>
      <c r="W2" s="48">
        <v>1</v>
      </c>
      <c r="X2" s="48">
        <v>1</v>
      </c>
      <c r="Y2" s="48">
        <v>1</v>
      </c>
      <c r="Z2" s="48">
        <v>1</v>
      </c>
      <c r="AA2" s="48">
        <v>1</v>
      </c>
      <c r="AB2" s="48">
        <v>1</v>
      </c>
      <c r="AC2" s="48">
        <v>1</v>
      </c>
      <c r="AD2" s="48">
        <v>1</v>
      </c>
      <c r="AE2" s="48">
        <v>1</v>
      </c>
      <c r="AF2" s="48">
        <v>1</v>
      </c>
      <c r="AG2" s="48">
        <v>1</v>
      </c>
      <c r="AH2" s="48">
        <v>1</v>
      </c>
    </row>
    <row r="3" spans="1:34">
      <c r="B3">
        <f>SUMXMY2(E3:AH3,E10:AH10)</f>
        <v>5.9622035875578225E-2</v>
      </c>
      <c r="D3" t="s">
        <v>107</v>
      </c>
      <c r="E3" s="41">
        <v>9.9999999999999995E-7</v>
      </c>
      <c r="F3">
        <v>8.2440600000000003E-2</v>
      </c>
      <c r="G3">
        <v>0.62406499999999998</v>
      </c>
      <c r="H3">
        <v>0.99904499999999996</v>
      </c>
      <c r="I3">
        <v>0.99992899999999996</v>
      </c>
      <c r="J3">
        <v>0.97229699999999997</v>
      </c>
      <c r="K3">
        <v>0.87010799999999999</v>
      </c>
      <c r="L3">
        <v>0.73338099999999995</v>
      </c>
      <c r="M3">
        <v>0.60741199999999995</v>
      </c>
      <c r="N3">
        <v>0.51769500000000002</v>
      </c>
      <c r="O3">
        <v>0.46621699999999999</v>
      </c>
      <c r="P3">
        <v>0.44195099999999998</v>
      </c>
      <c r="Q3">
        <v>0.432452</v>
      </c>
      <c r="R3">
        <v>0.42934299999999997</v>
      </c>
      <c r="S3">
        <v>0.42848900000000001</v>
      </c>
      <c r="T3">
        <v>0.42829099999999998</v>
      </c>
      <c r="U3">
        <v>0.42825299999999999</v>
      </c>
      <c r="V3">
        <v>0.42824600000000002</v>
      </c>
      <c r="W3">
        <v>0.42824499999999999</v>
      </c>
      <c r="X3">
        <v>0.42824499999999999</v>
      </c>
      <c r="Y3">
        <v>0.42824499999999999</v>
      </c>
      <c r="Z3">
        <v>0.42824499999999999</v>
      </c>
      <c r="AA3">
        <v>0.42824499999999999</v>
      </c>
      <c r="AB3">
        <v>0.42824499999999999</v>
      </c>
      <c r="AC3">
        <v>0.42824499999999999</v>
      </c>
      <c r="AD3">
        <v>0.42824499999999999</v>
      </c>
      <c r="AE3">
        <v>0.42824499999999999</v>
      </c>
      <c r="AF3">
        <v>0.42824499999999999</v>
      </c>
      <c r="AG3">
        <v>0.42824499999999999</v>
      </c>
      <c r="AH3">
        <v>0.42824499999999999</v>
      </c>
    </row>
    <row r="4" spans="1:34">
      <c r="B4">
        <f>SUMXMY2(E4:AH4,E11:AH11)</f>
        <v>2.0030559226343839E-2</v>
      </c>
      <c r="D4" t="s">
        <v>108</v>
      </c>
      <c r="E4" s="41">
        <v>9.9999999999999995E-7</v>
      </c>
      <c r="F4">
        <v>3.4747100000000002E-4</v>
      </c>
      <c r="G4">
        <v>3.3551800000000001E-3</v>
      </c>
      <c r="H4">
        <v>2.2178699999999999E-2</v>
      </c>
      <c r="I4">
        <v>0.100359</v>
      </c>
      <c r="J4">
        <v>0.31086599999999998</v>
      </c>
      <c r="K4">
        <v>0.65915699999999999</v>
      </c>
      <c r="L4">
        <v>0.956812</v>
      </c>
      <c r="M4">
        <v>0.99993900000000002</v>
      </c>
      <c r="N4">
        <v>0.99763400000000002</v>
      </c>
      <c r="O4">
        <v>0.877745</v>
      </c>
      <c r="P4">
        <v>0.70250800000000002</v>
      </c>
      <c r="Q4">
        <v>0.60139100000000001</v>
      </c>
      <c r="R4">
        <v>0.57030000000000003</v>
      </c>
      <c r="S4">
        <v>0.56481499999999996</v>
      </c>
      <c r="T4">
        <v>0.56424300000000005</v>
      </c>
      <c r="U4">
        <v>0.56420700000000001</v>
      </c>
      <c r="V4">
        <v>0.56420599999999999</v>
      </c>
      <c r="W4">
        <v>0.56420599999999999</v>
      </c>
      <c r="X4">
        <v>0.56420599999999999</v>
      </c>
      <c r="Y4">
        <v>0.56420599999999999</v>
      </c>
      <c r="Z4">
        <v>0.56420599999999999</v>
      </c>
      <c r="AA4">
        <v>0.56420599999999999</v>
      </c>
      <c r="AB4">
        <v>0.56420599999999999</v>
      </c>
      <c r="AC4">
        <v>0.56420599999999999</v>
      </c>
      <c r="AD4">
        <v>0.56420599999999999</v>
      </c>
      <c r="AE4">
        <v>0.56420599999999999</v>
      </c>
      <c r="AF4">
        <v>0.56420599999999999</v>
      </c>
      <c r="AG4">
        <v>0.56420599999999999</v>
      </c>
      <c r="AH4">
        <v>0.56420599999999999</v>
      </c>
    </row>
    <row r="8" spans="1:34">
      <c r="A8" t="s">
        <v>9</v>
      </c>
      <c r="B8" t="s">
        <v>10</v>
      </c>
      <c r="C8" t="s">
        <v>12</v>
      </c>
    </row>
    <row r="9" spans="1:34">
      <c r="A9">
        <v>16.103913169968092</v>
      </c>
      <c r="B9">
        <v>1.0653032892962018</v>
      </c>
      <c r="C9">
        <v>1.0001965690954851E-5</v>
      </c>
      <c r="D9" t="s">
        <v>117</v>
      </c>
      <c r="E9" s="4">
        <f t="shared" ref="E9:AH9" si="0">((EXP(g*(ah-Age)/gh)/(1+EXP((ah-Age)/gh))) *(1/(1-g))*((1-g)/g)^g)</f>
        <v>6.9609880464701395E-7</v>
      </c>
      <c r="F9" s="4">
        <f t="shared" si="0"/>
        <v>1.7796659431285789E-6</v>
      </c>
      <c r="G9" s="4">
        <f t="shared" si="0"/>
        <v>4.5499367432958943E-6</v>
      </c>
      <c r="H9" s="4">
        <f t="shared" si="0"/>
        <v>1.1632427532874629E-5</v>
      </c>
      <c r="I9" s="4">
        <f t="shared" si="0"/>
        <v>2.9739287925670794E-5</v>
      </c>
      <c r="J9" s="4">
        <f t="shared" si="0"/>
        <v>7.6028870329641877E-5</v>
      </c>
      <c r="K9" s="4">
        <f t="shared" si="0"/>
        <v>1.943547794224565E-4</v>
      </c>
      <c r="L9" s="4">
        <f t="shared" si="0"/>
        <v>4.9674322392758363E-4</v>
      </c>
      <c r="M9" s="4">
        <f t="shared" si="0"/>
        <v>1.2690081150531374E-3</v>
      </c>
      <c r="N9" s="4">
        <f t="shared" si="0"/>
        <v>3.2379905213052156E-3</v>
      </c>
      <c r="O9" s="4">
        <f t="shared" si="0"/>
        <v>8.2368376871169522E-3</v>
      </c>
      <c r="P9" s="4">
        <f t="shared" si="0"/>
        <v>2.0792008372629657E-2</v>
      </c>
      <c r="Q9" s="4">
        <f t="shared" si="0"/>
        <v>5.1491204908949553E-2</v>
      </c>
      <c r="R9" s="4">
        <f t="shared" si="0"/>
        <v>0.12187661989811299</v>
      </c>
      <c r="S9" s="4">
        <f t="shared" si="0"/>
        <v>0.26191103367452068</v>
      </c>
      <c r="T9" s="4">
        <f t="shared" si="0"/>
        <v>0.4756934927991851</v>
      </c>
      <c r="U9" s="4">
        <f t="shared" si="0"/>
        <v>0.69879031205124198</v>
      </c>
      <c r="V9" s="4">
        <f t="shared" si="0"/>
        <v>0.85577098971353227</v>
      </c>
      <c r="W9" s="4">
        <f t="shared" si="0"/>
        <v>0.93820466490279131</v>
      </c>
      <c r="X9" s="4">
        <f t="shared" si="0"/>
        <v>0.97493218621753863</v>
      </c>
      <c r="Y9" s="4">
        <f t="shared" si="0"/>
        <v>0.99008666767322651</v>
      </c>
      <c r="Z9" s="4">
        <f t="shared" si="0"/>
        <v>0.99613747651752993</v>
      </c>
      <c r="AA9" s="4">
        <f t="shared" si="0"/>
        <v>0.9985186584962954</v>
      </c>
      <c r="AB9" s="4">
        <f t="shared" si="0"/>
        <v>0.99944742353154725</v>
      </c>
      <c r="AC9" s="4">
        <f t="shared" si="0"/>
        <v>0.99980545659782483</v>
      </c>
      <c r="AD9" s="4">
        <f t="shared" si="0"/>
        <v>0.99993985169050448</v>
      </c>
      <c r="AE9" s="4">
        <f t="shared" si="0"/>
        <v>0.9999867125293419</v>
      </c>
      <c r="AF9" s="4">
        <f t="shared" si="0"/>
        <v>0.99999932641061662</v>
      </c>
      <c r="AG9" s="4">
        <f t="shared" si="0"/>
        <v>0.99999854379315545</v>
      </c>
      <c r="AH9" s="4">
        <f t="shared" si="0"/>
        <v>0.99999252120178039</v>
      </c>
    </row>
    <row r="10" spans="1:34">
      <c r="A10">
        <v>2.94001736541456</v>
      </c>
      <c r="B10">
        <v>0.36831376926404646</v>
      </c>
      <c r="C10">
        <v>3.1690884023873961E-2</v>
      </c>
      <c r="D10" t="s">
        <v>118</v>
      </c>
      <c r="E10" s="4">
        <f t="shared" ref="E10:S11" si="1">((EXP(g*(ah-Age)/gh)/(1+EXP((ah-Age)/gh))) *(1/(1-g))*((1-g)/g)^g)</f>
        <v>6.978350582344188E-3</v>
      </c>
      <c r="F10" s="4">
        <f t="shared" si="1"/>
        <v>9.0194401213008132E-2</v>
      </c>
      <c r="G10" s="4">
        <f t="shared" si="1"/>
        <v>0.61901880413532606</v>
      </c>
      <c r="H10" s="4">
        <f t="shared" si="1"/>
        <v>0.99465593451304024</v>
      </c>
      <c r="I10" s="4">
        <f t="shared" si="1"/>
        <v>0.96041218455190969</v>
      </c>
      <c r="J10" s="4">
        <f t="shared" si="1"/>
        <v>0.88429417345340167</v>
      </c>
      <c r="K10" s="4">
        <f t="shared" si="1"/>
        <v>0.81157497969270187</v>
      </c>
      <c r="L10" s="4">
        <f t="shared" si="1"/>
        <v>0.74467572008903793</v>
      </c>
      <c r="M10" s="4">
        <f t="shared" si="1"/>
        <v>0.68328133676838576</v>
      </c>
      <c r="N10" s="4">
        <f t="shared" si="1"/>
        <v>0.62694798926737427</v>
      </c>
      <c r="O10" s="4">
        <f t="shared" si="1"/>
        <v>0.57525902667409179</v>
      </c>
      <c r="P10" s="4">
        <f t="shared" si="1"/>
        <v>0.52783157784834189</v>
      </c>
      <c r="Q10" s="4">
        <f t="shared" si="1"/>
        <v>0.48431430291239808</v>
      </c>
      <c r="R10" s="4">
        <f t="shared" si="1"/>
        <v>0.44438482623082631</v>
      </c>
      <c r="S10" s="4">
        <f t="shared" si="1"/>
        <v>0.40774735042191118</v>
      </c>
      <c r="T10" s="4">
        <f t="shared" ref="T10:V10" si="2">S10</f>
        <v>0.40774735042191118</v>
      </c>
      <c r="U10" s="4">
        <f t="shared" si="2"/>
        <v>0.40774735042191118</v>
      </c>
      <c r="V10" s="4">
        <f t="shared" si="2"/>
        <v>0.40774735042191118</v>
      </c>
      <c r="W10" s="4">
        <f>V10</f>
        <v>0.40774735042191118</v>
      </c>
      <c r="X10" s="4">
        <f t="shared" ref="X10:AH10" si="3">W10</f>
        <v>0.40774735042191118</v>
      </c>
      <c r="Y10" s="4">
        <f t="shared" si="3"/>
        <v>0.40774735042191118</v>
      </c>
      <c r="Z10" s="4">
        <f t="shared" si="3"/>
        <v>0.40774735042191118</v>
      </c>
      <c r="AA10" s="4">
        <f t="shared" si="3"/>
        <v>0.40774735042191118</v>
      </c>
      <c r="AB10" s="4">
        <f t="shared" si="3"/>
        <v>0.40774735042191118</v>
      </c>
      <c r="AC10" s="4">
        <f t="shared" si="3"/>
        <v>0.40774735042191118</v>
      </c>
      <c r="AD10" s="4">
        <f t="shared" si="3"/>
        <v>0.40774735042191118</v>
      </c>
      <c r="AE10" s="4">
        <f t="shared" si="3"/>
        <v>0.40774735042191118</v>
      </c>
      <c r="AF10" s="4">
        <f t="shared" si="3"/>
        <v>0.40774735042191118</v>
      </c>
      <c r="AG10" s="4">
        <f t="shared" si="3"/>
        <v>0.40774735042191118</v>
      </c>
      <c r="AH10" s="4">
        <f t="shared" si="3"/>
        <v>0.40774735042191118</v>
      </c>
    </row>
    <row r="11" spans="1:34">
      <c r="A11">
        <v>6.9694475487251424</v>
      </c>
      <c r="B11">
        <v>0.72278581988550117</v>
      </c>
      <c r="C11">
        <v>7.7284707242588305E-2</v>
      </c>
      <c r="D11" t="s">
        <v>119</v>
      </c>
      <c r="E11" s="4">
        <f t="shared" si="1"/>
        <v>6.4334741280904265E-4</v>
      </c>
      <c r="F11" s="4">
        <f t="shared" si="1"/>
        <v>2.3042741451738541E-3</v>
      </c>
      <c r="G11" s="4">
        <f t="shared" si="1"/>
        <v>8.2341980426726448E-3</v>
      </c>
      <c r="H11" s="4">
        <f t="shared" si="1"/>
        <v>2.9157603133382771E-2</v>
      </c>
      <c r="I11" s="4">
        <f t="shared" si="1"/>
        <v>9.9696143240331561E-2</v>
      </c>
      <c r="J11" s="4">
        <f t="shared" si="1"/>
        <v>0.3018479163757426</v>
      </c>
      <c r="K11" s="4">
        <f t="shared" si="1"/>
        <v>0.66803474486145753</v>
      </c>
      <c r="L11" s="4">
        <f t="shared" si="1"/>
        <v>0.9479333887828354</v>
      </c>
      <c r="M11" s="4">
        <f t="shared" si="1"/>
        <v>0.99647447408102696</v>
      </c>
      <c r="N11" s="4">
        <f t="shared" si="1"/>
        <v>0.93524374287797951</v>
      </c>
      <c r="O11" s="4">
        <f t="shared" si="1"/>
        <v>0.84987723524000125</v>
      </c>
      <c r="P11" s="4">
        <f t="shared" si="1"/>
        <v>0.76585743298234565</v>
      </c>
      <c r="Q11" s="4">
        <f t="shared" si="1"/>
        <v>0.68868271338076326</v>
      </c>
      <c r="R11" s="4">
        <f t="shared" si="1"/>
        <v>0.61895512507357631</v>
      </c>
      <c r="S11" s="4">
        <f t="shared" si="1"/>
        <v>0.55621300063831414</v>
      </c>
      <c r="T11" s="4">
        <f>S11</f>
        <v>0.55621300063831414</v>
      </c>
      <c r="U11" s="4">
        <f t="shared" ref="U11:AH11" si="4">T11</f>
        <v>0.55621300063831414</v>
      </c>
      <c r="V11" s="4">
        <f t="shared" si="4"/>
        <v>0.55621300063831414</v>
      </c>
      <c r="W11" s="4">
        <f t="shared" si="4"/>
        <v>0.55621300063831414</v>
      </c>
      <c r="X11" s="4">
        <f t="shared" si="4"/>
        <v>0.55621300063831414</v>
      </c>
      <c r="Y11" s="4">
        <f t="shared" si="4"/>
        <v>0.55621300063831414</v>
      </c>
      <c r="Z11" s="4">
        <f t="shared" si="4"/>
        <v>0.55621300063831414</v>
      </c>
      <c r="AA11" s="4">
        <f t="shared" si="4"/>
        <v>0.55621300063831414</v>
      </c>
      <c r="AB11" s="4">
        <f t="shared" si="4"/>
        <v>0.55621300063831414</v>
      </c>
      <c r="AC11" s="4">
        <f t="shared" si="4"/>
        <v>0.55621300063831414</v>
      </c>
      <c r="AD11" s="4">
        <f t="shared" si="4"/>
        <v>0.55621300063831414</v>
      </c>
      <c r="AE11" s="4">
        <f t="shared" si="4"/>
        <v>0.55621300063831414</v>
      </c>
      <c r="AF11" s="4">
        <f t="shared" si="4"/>
        <v>0.55621300063831414</v>
      </c>
      <c r="AG11" s="4">
        <f t="shared" si="4"/>
        <v>0.55621300063831414</v>
      </c>
      <c r="AH11" s="4">
        <f t="shared" si="4"/>
        <v>0.55621300063831414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B3" sqref="B3"/>
    </sheetView>
  </sheetViews>
  <sheetFormatPr baseColWidth="10" defaultRowHeight="18" x14ac:dyDescent="0"/>
  <sheetData>
    <row r="1" spans="1:33">
      <c r="A1" t="s">
        <v>125</v>
      </c>
      <c r="B1">
        <v>78.721378871832741</v>
      </c>
      <c r="C1" t="s">
        <v>116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>
      <c r="A2" t="s">
        <v>126</v>
      </c>
      <c r="B2">
        <v>7.785234075604705E-2</v>
      </c>
      <c r="C2" t="s">
        <v>123</v>
      </c>
      <c r="D2">
        <v>0.94</v>
      </c>
      <c r="E2">
        <v>1.87</v>
      </c>
      <c r="F2">
        <v>2.81</v>
      </c>
      <c r="G2">
        <v>3.75</v>
      </c>
      <c r="H2">
        <v>4.6900000000000004</v>
      </c>
      <c r="I2">
        <v>5.62</v>
      </c>
      <c r="J2">
        <v>6.56</v>
      </c>
      <c r="K2">
        <v>7.32</v>
      </c>
      <c r="L2">
        <v>8.61</v>
      </c>
      <c r="M2">
        <v>10.94</v>
      </c>
      <c r="N2">
        <v>14.14</v>
      </c>
      <c r="O2">
        <v>17.64</v>
      </c>
      <c r="P2">
        <v>19.920000000000002</v>
      </c>
      <c r="Q2">
        <v>22.6</v>
      </c>
      <c r="R2">
        <v>24.53</v>
      </c>
      <c r="S2">
        <v>30.09</v>
      </c>
      <c r="T2">
        <v>34.26</v>
      </c>
      <c r="U2">
        <v>33.229999999999997</v>
      </c>
      <c r="V2">
        <v>42.13</v>
      </c>
      <c r="W2">
        <v>39.68</v>
      </c>
      <c r="X2">
        <v>35.659999999999997</v>
      </c>
      <c r="Y2">
        <v>46.31</v>
      </c>
      <c r="Z2">
        <v>48.46</v>
      </c>
      <c r="AA2">
        <v>47.26</v>
      </c>
      <c r="AB2">
        <v>49.13</v>
      </c>
      <c r="AC2">
        <v>51</v>
      </c>
      <c r="AD2">
        <v>52.87</v>
      </c>
      <c r="AE2">
        <v>54.74</v>
      </c>
      <c r="AF2">
        <v>56.61</v>
      </c>
      <c r="AG2">
        <v>58.48</v>
      </c>
    </row>
    <row r="3" spans="1:33">
      <c r="A3" t="s">
        <v>127</v>
      </c>
      <c r="B3">
        <v>0.16405328226882354</v>
      </c>
      <c r="C3" t="s">
        <v>124</v>
      </c>
      <c r="D3">
        <f t="shared" ref="D3:AG3" si="0">winf*((1-EXP(-k*(Age+to)))^3)</f>
        <v>5.119595845220104E-2</v>
      </c>
      <c r="E3">
        <f t="shared" si="0"/>
        <v>0.29342654700295195</v>
      </c>
      <c r="F3">
        <f t="shared" si="0"/>
        <v>0.81933682071645242</v>
      </c>
      <c r="G3">
        <f t="shared" si="0"/>
        <v>1.6709810823264646</v>
      </c>
      <c r="H3">
        <f t="shared" si="0"/>
        <v>2.8558870175071962</v>
      </c>
      <c r="I3">
        <f t="shared" si="0"/>
        <v>4.3588001475024312</v>
      </c>
      <c r="J3">
        <f t="shared" si="0"/>
        <v>6.1502628318442012</v>
      </c>
      <c r="K3">
        <f t="shared" si="0"/>
        <v>8.192795548053061</v>
      </c>
      <c r="L3">
        <f t="shared" si="0"/>
        <v>10.445272284860348</v>
      </c>
      <c r="M3">
        <f t="shared" si="0"/>
        <v>12.86594496174534</v>
      </c>
      <c r="N3">
        <f t="shared" si="0"/>
        <v>15.414465376124738</v>
      </c>
      <c r="O3">
        <f t="shared" si="0"/>
        <v>18.053170635876704</v>
      </c>
      <c r="P3">
        <f t="shared" si="0"/>
        <v>20.747834140329509</v>
      </c>
      <c r="Q3">
        <f t="shared" si="0"/>
        <v>23.468034831476942</v>
      </c>
      <c r="R3">
        <f t="shared" si="0"/>
        <v>26.187259436828722</v>
      </c>
      <c r="S3">
        <f t="shared" si="0"/>
        <v>28.882823249044712</v>
      </c>
      <c r="T3">
        <f t="shared" si="0"/>
        <v>31.535672665067079</v>
      </c>
      <c r="U3">
        <f t="shared" si="0"/>
        <v>34.130115698146071</v>
      </c>
      <c r="V3">
        <f t="shared" si="0"/>
        <v>36.653513776545324</v>
      </c>
      <c r="W3">
        <f t="shared" si="0"/>
        <v>39.09595841409763</v>
      </c>
      <c r="X3">
        <f t="shared" si="0"/>
        <v>41.449949048961749</v>
      </c>
      <c r="Y3">
        <f t="shared" si="0"/>
        <v>43.710082929277405</v>
      </c>
      <c r="Z3">
        <f t="shared" si="0"/>
        <v>45.872763936511646</v>
      </c>
      <c r="AA3">
        <f t="shared" si="0"/>
        <v>47.935934337174366</v>
      </c>
      <c r="AB3">
        <f t="shared" si="0"/>
        <v>49.898831376935767</v>
      </c>
      <c r="AC3">
        <f t="shared" si="0"/>
        <v>51.761769174237017</v>
      </c>
      <c r="AD3">
        <f t="shared" si="0"/>
        <v>53.525945376613791</v>
      </c>
      <c r="AE3">
        <f t="shared" si="0"/>
        <v>55.193271392160312</v>
      </c>
      <c r="AF3">
        <f t="shared" si="0"/>
        <v>56.76622460928558</v>
      </c>
      <c r="AG3">
        <f t="shared" si="0"/>
        <v>58.247720800593093</v>
      </c>
    </row>
    <row r="4" spans="1:33">
      <c r="A4" t="s">
        <v>111</v>
      </c>
      <c r="B4">
        <f>SUMXMY2(Wa,Wa_hat)</f>
        <v>119.84430992893407</v>
      </c>
    </row>
    <row r="5" spans="1:33">
      <c r="A5" t="s">
        <v>79</v>
      </c>
      <c r="B5">
        <f>(winf/0.00001)^(1/3)</f>
        <v>198.92875480624187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Status Quo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2015-08-04T19:23:27Z</dcterms:modified>
</cp:coreProperties>
</file>