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codeName="ThisWorkbook" autoCompressPictures="0"/>
  <bookViews>
    <workbookView xWindow="-30540" yWindow="0" windowWidth="28800" windowHeight="16740" tabRatio="500" activeTab="2"/>
  </bookViews>
  <sheets>
    <sheet name="Sheet1" sheetId="1" r:id="rId1"/>
    <sheet name="Sheet2" sheetId="2" r:id="rId2"/>
    <sheet name="Allocation Mar" sheetId="8" r:id="rId3"/>
    <sheet name="Allocation" sheetId="3" r:id="rId4"/>
    <sheet name="SingleFleet" sheetId="4" r:id="rId5"/>
    <sheet name="Sheet5" sheetId="5" r:id="rId6"/>
    <sheet name="FlakLake" sheetId="6" r:id="rId7"/>
  </sheets>
  <definedNames>
    <definedName name="age" localSheetId="6">FlakLake!$F$1:$L$1</definedName>
    <definedName name="age" localSheetId="5">Sheet5!$G$1:$M$1</definedName>
    <definedName name="age">SingleFleet!$F$1:$L$1</definedName>
    <definedName name="ah" localSheetId="3">Allocation!$E$6:$E$7</definedName>
    <definedName name="ah" localSheetId="2">'Allocation Mar'!$E$6:$E$7</definedName>
    <definedName name="ah">Sheet2!$E$6:$E$7</definedName>
    <definedName name="ak" localSheetId="2">'Allocation Mar'!$B$10:$C$10</definedName>
    <definedName name="ak">Allocation!$B$9:$C$9</definedName>
    <definedName name="akdYe">'Allocation Mar'!$B$31:$C$31</definedName>
    <definedName name="B">Sheet1!$B$1</definedName>
    <definedName name="beta">FlakLake!$B$15</definedName>
    <definedName name="ca">Sheet5!$G$6:$M$6</definedName>
    <definedName name="Ct">Sheet5!$B$2</definedName>
    <definedName name="ddphif" localSheetId="3">Allocation!$B$22:$C$22</definedName>
    <definedName name="ddphif" localSheetId="2">'Allocation Mar'!$B$22:$C$22</definedName>
    <definedName name="ddphif">Sheet2!$B$22:$C$22</definedName>
    <definedName name="ddphiq" localSheetId="3">Allocation!$B$25:$C$25</definedName>
    <definedName name="ddphiq" localSheetId="2">'Allocation Mar'!$B$25:$C$25</definedName>
    <definedName name="ddphiq">Sheet2!$B$25:$C$25</definedName>
    <definedName name="ddre" localSheetId="3">Allocation!$B$27:$C$27</definedName>
    <definedName name="ddre" localSheetId="2">'Allocation Mar'!$B$27:$C$27</definedName>
    <definedName name="ddre">Sheet2!$B$27:$C$27</definedName>
    <definedName name="delta" localSheetId="3">Allocation!$B$39:$C$39</definedName>
    <definedName name="delta" localSheetId="2">'Allocation Mar'!$B$37:$C$37</definedName>
    <definedName name="delta">Sheet2!$B$37:$C$37</definedName>
    <definedName name="dfe" localSheetId="6">FlakLake!$B$22</definedName>
    <definedName name="dfe">SingleFleet!$B$19</definedName>
    <definedName name="dh" localSheetId="3">Allocation!$B$14</definedName>
    <definedName name="dh" localSheetId="2">'Allocation Mar'!$B$13</definedName>
    <definedName name="dh" localSheetId="6">FlakLake!$B$6</definedName>
    <definedName name="dh" localSheetId="4">SingleFleet!$B$6</definedName>
    <definedName name="dh">Sheet2!$B$13</definedName>
    <definedName name="dlam">Allocation!$B$15:$C$15</definedName>
    <definedName name="dlw">FlakLake!$F$16:$L$16</definedName>
    <definedName name="dlz" localSheetId="6">FlakLake!$F$15:$L$15</definedName>
    <definedName name="dlz">SingleFleet!$F$13:$L$13</definedName>
    <definedName name="dphif" localSheetId="3">Allocation!$B$21:$C$21</definedName>
    <definedName name="dphif" localSheetId="2">'Allocation Mar'!$B$21:$C$21</definedName>
    <definedName name="dphif" localSheetId="6">FlakLake!$B$16</definedName>
    <definedName name="dphif" localSheetId="4">SingleFleet!$B$15</definedName>
    <definedName name="dphif">Sheet2!$B$21:$C$21</definedName>
    <definedName name="dphiq" localSheetId="3">Allocation!$B$24:$C$24</definedName>
    <definedName name="dphiq" localSheetId="2">'Allocation Mar'!$B$24:$C$24</definedName>
    <definedName name="dphiq" localSheetId="6">FlakLake!$B$17</definedName>
    <definedName name="dphiq" localSheetId="4">SingleFleet!$B$16</definedName>
    <definedName name="dphiq">Sheet2!$B$24:$C$24</definedName>
    <definedName name="dqa" localSheetId="6">FlakLake!$F$20:$L$20</definedName>
    <definedName name="dqa">SingleFleet!$F$17:$L$17</definedName>
    <definedName name="dre" localSheetId="3">Allocation!$B$26:$C$26</definedName>
    <definedName name="dre" localSheetId="2">'Allocation Mar'!$B$26:$C$26</definedName>
    <definedName name="dre" localSheetId="6">FlakLake!$B$18</definedName>
    <definedName name="dre" localSheetId="4">SingleFleet!$B$17</definedName>
    <definedName name="dre">Sheet2!$B$26:$C$26</definedName>
    <definedName name="dta" localSheetId="3">Allocation!$B$47:$C$47</definedName>
    <definedName name="dta" localSheetId="2">'Allocation Mar'!$B$45:$C$45</definedName>
    <definedName name="dta">Sheet2!$B$45:$C$45</definedName>
    <definedName name="dYe" localSheetId="2">'Allocation Mar'!$B$30:$C$30</definedName>
    <definedName name="dye" localSheetId="6">FlakLake!$B$24</definedName>
    <definedName name="dye" localSheetId="4">SingleFleet!$B$21</definedName>
    <definedName name="dYe">Allocation!$B$30:$C$30</definedName>
    <definedName name="f" localSheetId="3">Allocation!$B$20:$C$20</definedName>
    <definedName name="f" localSheetId="2">'Allocation Mar'!$B$20:$C$20</definedName>
    <definedName name="f">Sheet2!$B$20:$C$20</definedName>
    <definedName name="f_1">Sheet1!$B$3</definedName>
    <definedName name="f_2">Sheet1!$B$4</definedName>
    <definedName name="fa" localSheetId="3">Allocation!$G$3:$Z$3</definedName>
    <definedName name="fa" localSheetId="2">'Allocation Mar'!$G$3:$Z$3</definedName>
    <definedName name="fa" localSheetId="6">FlakLake!$F$3:$L$3</definedName>
    <definedName name="fa" localSheetId="4">SingleFleet!$F$3:$L$3</definedName>
    <definedName name="fa">Sheet2!$G$3:$Z$3</definedName>
    <definedName name="favg">#REF!</definedName>
    <definedName name="fbar">Allocation!$D$48</definedName>
    <definedName name="fe" localSheetId="3">Allocation!$B$6:$B$7</definedName>
    <definedName name="fe" localSheetId="2">'Allocation Mar'!$B$6:$B$7</definedName>
    <definedName name="fe" localSheetId="6">FlakLake!$B$4</definedName>
    <definedName name="fe" localSheetId="4">SingleFleet!$B$4</definedName>
    <definedName name="fe">Sheet2!$B$6:$B$7</definedName>
    <definedName name="feh" localSheetId="6">FlakLake!$B$7</definedName>
    <definedName name="feh">SingleFleet!$B$7</definedName>
    <definedName name="fem" localSheetId="6">FlakLake!$B$8</definedName>
    <definedName name="fem">SingleFleet!$B$8</definedName>
    <definedName name="fiter" localSheetId="3">Allocation!$B$40:$C$40</definedName>
    <definedName name="fiter" localSheetId="2">'Allocation Mar'!$B$38:$C$38</definedName>
    <definedName name="fiter">Sheet2!$B$38:$C$38</definedName>
    <definedName name="fstp">'Allocation Mar'!$B$36:$C$36</definedName>
    <definedName name="ft">Sheet5!$B$3</definedName>
    <definedName name="h" localSheetId="3">Allocation!$B$2</definedName>
    <definedName name="h" localSheetId="2">'Allocation Mar'!$B$2</definedName>
    <definedName name="h" localSheetId="6">FlakLake!$B$2</definedName>
    <definedName name="h" localSheetId="4">SingleFleet!$B$2</definedName>
    <definedName name="h">Sheet2!$B$2</definedName>
    <definedName name="kappa" localSheetId="6">FlakLake!$B$5</definedName>
    <definedName name="kappa">SingleFleet!$B$5</definedName>
    <definedName name="lambda">Allocation!$B$11:$C$11</definedName>
    <definedName name="lw">FlakLake!$F$10:$L$10</definedName>
    <definedName name="lx" localSheetId="3">Allocation!$G$4:$Z$4</definedName>
    <definedName name="lx" localSheetId="2">'Allocation Mar'!$G$4:$Z$4</definedName>
    <definedName name="lx" localSheetId="6">FlakLake!$F$8:$L$8</definedName>
    <definedName name="lx" localSheetId="4">SingleFleet!$F$8:$L$8</definedName>
    <definedName name="lx">Sheet2!$G$4:$Z$4</definedName>
    <definedName name="lYe">Allocation!$B$31:$C$31</definedName>
    <definedName name="lz" localSheetId="3">Allocation!$G$14:$Z$14</definedName>
    <definedName name="lz" localSheetId="2">'Allocation Mar'!$G$14:$Z$14</definedName>
    <definedName name="lz" localSheetId="6">FlakLake!$F$9:$L$9</definedName>
    <definedName name="lz" localSheetId="4">SingleFleet!$F$9:$L$9</definedName>
    <definedName name="lz">Sheet2!$G$14:$Z$14</definedName>
    <definedName name="m" localSheetId="3">Allocation!$B$3</definedName>
    <definedName name="m" localSheetId="2">'Allocation Mar'!$B$3</definedName>
    <definedName name="m" localSheetId="6">FlakLake!$B$3</definedName>
    <definedName name="m" localSheetId="1">Sheet2!$B$3</definedName>
    <definedName name="m" localSheetId="5">Sheet5!$B$1</definedName>
    <definedName name="m" localSheetId="4">SingleFleet!$B$3</definedName>
    <definedName name="M">Sheet1!$B$2</definedName>
    <definedName name="na">Sheet5!$G$3:$M$3</definedName>
    <definedName name="oa" localSheetId="3">Allocation!$G$10:$Z$10</definedName>
    <definedName name="oa" localSheetId="2">'Allocation Mar'!$G$10:$Z$10</definedName>
    <definedName name="oa" localSheetId="6">FlakLake!$F$7:$L$7</definedName>
    <definedName name="oa" localSheetId="4">SingleFleet!$F$7:$L$7</definedName>
    <definedName name="oa">Sheet2!$G$10:$Z$10</definedName>
    <definedName name="p" localSheetId="6">FlakLake!$B$25</definedName>
    <definedName name="p">SingleFleet!$B$23</definedName>
    <definedName name="phef" localSheetId="6">FlakLake!$B$11</definedName>
    <definedName name="phef">SingleFleet!$B$11</definedName>
    <definedName name="phie" localSheetId="3">Allocation!$B$18</definedName>
    <definedName name="phie" localSheetId="2">'Allocation Mar'!$B$18</definedName>
    <definedName name="phie" localSheetId="6">FlakLake!$B$10</definedName>
    <definedName name="phie" localSheetId="4">SingleFleet!$B$10</definedName>
    <definedName name="phie">Sheet2!$B$18</definedName>
    <definedName name="phif" localSheetId="3">Allocation!$B$19</definedName>
    <definedName name="phif" localSheetId="2">'Allocation Mar'!$B$19</definedName>
    <definedName name="phif" localSheetId="6">FlakLake!$B$11</definedName>
    <definedName name="phif" localSheetId="4">SingleFleet!$B$11</definedName>
    <definedName name="phif">Sheet2!$B$19</definedName>
    <definedName name="phiq" localSheetId="3">Allocation!$B$23:$C$23</definedName>
    <definedName name="phiq" localSheetId="2">'Allocation Mar'!$B$23:$C$23</definedName>
    <definedName name="phiq" localSheetId="6">FlakLake!$B$13</definedName>
    <definedName name="phiq" localSheetId="4">SingleFleet!$B$13</definedName>
    <definedName name="phiq">Sheet2!$B$23:$C$23</definedName>
    <definedName name="pk">Allocation!$B$10:$C$10</definedName>
    <definedName name="plambda">#REF!</definedName>
    <definedName name="qa" localSheetId="6">FlakLake!$F$19:$L$19</definedName>
    <definedName name="qa">SingleFleet!$F$16:$L$16</definedName>
    <definedName name="re" localSheetId="3">Allocation!$B$17</definedName>
    <definedName name="re" localSheetId="2">'Allocation Mar'!$B$17</definedName>
    <definedName name="re" localSheetId="6">FlakLake!$B$12</definedName>
    <definedName name="re" localSheetId="4">SingleFleet!$B$12</definedName>
    <definedName name="re">Sheet2!$B$17</definedName>
    <definedName name="reck" localSheetId="3">Allocation!$B$8</definedName>
    <definedName name="reck" localSheetId="2">'Allocation Mar'!$B$8</definedName>
    <definedName name="reck">Sheet2!$B$8</definedName>
    <definedName name="ro" localSheetId="3">Allocation!$B$1</definedName>
    <definedName name="ro" localSheetId="2">'Allocation Mar'!$B$1</definedName>
    <definedName name="ro" localSheetId="6">FlakLake!$B$1</definedName>
    <definedName name="ro" localSheetId="4">SingleFleet!$B$1</definedName>
    <definedName name="ro">Sheet2!$B$1</definedName>
    <definedName name="sa" localSheetId="3">Allocation!$G$9:$Z$9</definedName>
    <definedName name="sa" localSheetId="2">'Allocation Mar'!$G$9:$Z$9</definedName>
    <definedName name="sa" localSheetId="6">FlakLake!$F$6:$L$6</definedName>
    <definedName name="sa" localSheetId="4">SingleFleet!$F$6:$L$6</definedName>
    <definedName name="sa">Sheet2!$G$9:$Z$9</definedName>
    <definedName name="so">FlakLake!$B$14</definedName>
    <definedName name="V" localSheetId="3">Allocation!$G$6:$Z$7</definedName>
    <definedName name="V" localSheetId="2">'Allocation Mar'!$G$6:$Z$7</definedName>
    <definedName name="V">Sheet2!$G$6:$Z$7</definedName>
    <definedName name="va" localSheetId="6">FlakLake!$F$4:$L$4</definedName>
    <definedName name="va" localSheetId="5">Sheet5!$G$2:$M$2</definedName>
    <definedName name="va">SingleFleet!$F$4:$L$4</definedName>
    <definedName name="vbk" localSheetId="3">Allocation!$B$4</definedName>
    <definedName name="vbk" localSheetId="2">'Allocation Mar'!$B$4</definedName>
    <definedName name="vbk">Sheet2!$B$4</definedName>
    <definedName name="wa" localSheetId="3">Allocation!$G$2:$Z$2</definedName>
    <definedName name="wa" localSheetId="2">'Allocation Mar'!$G$2:$Z$2</definedName>
    <definedName name="wa" localSheetId="6">FlakLake!$F$2:$L$2</definedName>
    <definedName name="wa" localSheetId="5">Sheet5!$G$4:$M$4</definedName>
    <definedName name="wa" localSheetId="4">SingleFleet!$F$2:$L$2</definedName>
    <definedName name="wa">Sheet2!$G$2:$Z$2</definedName>
    <definedName name="Ye" localSheetId="2">'Allocation Mar'!$B$29:$C$29</definedName>
    <definedName name="ye" localSheetId="6">FlakLake!$B$23</definedName>
    <definedName name="Ye" localSheetId="1">Sheet2!$B$29:$C$29</definedName>
    <definedName name="ye" localSheetId="4">SingleFleet!$B$20</definedName>
    <definedName name="Ye">Allocation!$B$29:$C$29</definedName>
    <definedName name="Z">Sheet1!$B$5</definedName>
    <definedName name="za" localSheetId="3">Allocation!$G$8:$Z$8</definedName>
    <definedName name="za" localSheetId="2">'Allocation Mar'!$G$8:$Z$8</definedName>
    <definedName name="za" localSheetId="6">FlakLake!$F$5:$L$5</definedName>
    <definedName name="za" localSheetId="5">Sheet5!$G$5:$M$5</definedName>
    <definedName name="za" localSheetId="4">SingleFleet!$F$5:$L$5</definedName>
    <definedName name="za">Sheet2!$G$8:$Z$8</definedName>
    <definedName name="zf" localSheetId="6">FlakLake!$B$9</definedName>
    <definedName name="zf">SingleFleet!$B$9</definedName>
  </definedNames>
  <calcPr calcId="140001" iterate="1" iterateCount="2500" iterateDelta="1.0000000000000001E-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0" i="8" l="1"/>
  <c r="B20" i="8"/>
  <c r="C10" i="8"/>
  <c r="G8" i="8"/>
  <c r="H18" i="8"/>
  <c r="H8" i="8"/>
  <c r="H14" i="8"/>
  <c r="I18" i="8"/>
  <c r="I8" i="8"/>
  <c r="I14" i="8"/>
  <c r="J18" i="8"/>
  <c r="J8" i="8"/>
  <c r="J14" i="8"/>
  <c r="K18" i="8"/>
  <c r="K8" i="8"/>
  <c r="K14" i="8"/>
  <c r="L18" i="8"/>
  <c r="L8" i="8"/>
  <c r="L14" i="8"/>
  <c r="M18" i="8"/>
  <c r="M8" i="8"/>
  <c r="M14" i="8"/>
  <c r="N18" i="8"/>
  <c r="N8" i="8"/>
  <c r="N14" i="8"/>
  <c r="O18" i="8"/>
  <c r="O8" i="8"/>
  <c r="O14" i="8"/>
  <c r="P18" i="8"/>
  <c r="P8" i="8"/>
  <c r="P14" i="8"/>
  <c r="Q18" i="8"/>
  <c r="Q8" i="8"/>
  <c r="Q14" i="8"/>
  <c r="R18" i="8"/>
  <c r="R8" i="8"/>
  <c r="R14" i="8"/>
  <c r="S18" i="8"/>
  <c r="S8" i="8"/>
  <c r="S14" i="8"/>
  <c r="T18" i="8"/>
  <c r="T8" i="8"/>
  <c r="T14" i="8"/>
  <c r="U18" i="8"/>
  <c r="U8" i="8"/>
  <c r="U14" i="8"/>
  <c r="V18" i="8"/>
  <c r="V8" i="8"/>
  <c r="V14" i="8"/>
  <c r="W18" i="8"/>
  <c r="W8" i="8"/>
  <c r="W14" i="8"/>
  <c r="X18" i="8"/>
  <c r="X8" i="8"/>
  <c r="X14" i="8"/>
  <c r="Y18" i="8"/>
  <c r="Y14" i="8"/>
  <c r="Y8" i="8"/>
  <c r="Y9" i="8"/>
  <c r="Z8" i="8"/>
  <c r="Z9" i="8"/>
  <c r="Z10" i="8"/>
  <c r="Z18" i="8"/>
  <c r="B21" i="8"/>
  <c r="Z14" i="8"/>
  <c r="B19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B22" i="8"/>
  <c r="B27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C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C22" i="8"/>
  <c r="C27" i="8"/>
  <c r="B26" i="8"/>
  <c r="B3" i="8"/>
  <c r="B8" i="8"/>
  <c r="G15" i="8"/>
  <c r="G14" i="8"/>
  <c r="G16" i="8"/>
  <c r="G27" i="8"/>
  <c r="G2" i="8"/>
  <c r="G6" i="8"/>
  <c r="G7" i="8"/>
  <c r="G11" i="8"/>
  <c r="G18" i="8"/>
  <c r="G9" i="8"/>
  <c r="G10" i="8"/>
  <c r="G26" i="8"/>
  <c r="H2" i="8"/>
  <c r="H7" i="8"/>
  <c r="G12" i="8"/>
  <c r="G25" i="8"/>
  <c r="G24" i="8"/>
  <c r="H6" i="8"/>
  <c r="G23" i="8"/>
  <c r="G22" i="8"/>
  <c r="Z2" i="8"/>
  <c r="Z7" i="8"/>
  <c r="Z6" i="8"/>
  <c r="Z12" i="8"/>
  <c r="Y2" i="8"/>
  <c r="Y7" i="8"/>
  <c r="X2" i="8"/>
  <c r="X7" i="8"/>
  <c r="X6" i="8"/>
  <c r="X12" i="8"/>
  <c r="W2" i="8"/>
  <c r="W7" i="8"/>
  <c r="W6" i="8"/>
  <c r="W12" i="8"/>
  <c r="V2" i="8"/>
  <c r="V7" i="8"/>
  <c r="V6" i="8"/>
  <c r="V12" i="8"/>
  <c r="U2" i="8"/>
  <c r="U7" i="8"/>
  <c r="U6" i="8"/>
  <c r="U12" i="8"/>
  <c r="T2" i="8"/>
  <c r="T7" i="8"/>
  <c r="T6" i="8"/>
  <c r="T12" i="8"/>
  <c r="S2" i="8"/>
  <c r="S7" i="8"/>
  <c r="S6" i="8"/>
  <c r="S12" i="8"/>
  <c r="R2" i="8"/>
  <c r="R7" i="8"/>
  <c r="R6" i="8"/>
  <c r="R12" i="8"/>
  <c r="Q2" i="8"/>
  <c r="Q7" i="8"/>
  <c r="Q6" i="8"/>
  <c r="Q12" i="8"/>
  <c r="P2" i="8"/>
  <c r="P7" i="8"/>
  <c r="P6" i="8"/>
  <c r="P12" i="8"/>
  <c r="O2" i="8"/>
  <c r="O7" i="8"/>
  <c r="O6" i="8"/>
  <c r="O12" i="8"/>
  <c r="N2" i="8"/>
  <c r="N7" i="8"/>
  <c r="N6" i="8"/>
  <c r="N12" i="8"/>
  <c r="M2" i="8"/>
  <c r="M7" i="8"/>
  <c r="M6" i="8"/>
  <c r="M12" i="8"/>
  <c r="L2" i="8"/>
  <c r="L7" i="8"/>
  <c r="L6" i="8"/>
  <c r="L12" i="8"/>
  <c r="K2" i="8"/>
  <c r="K7" i="8"/>
  <c r="K6" i="8"/>
  <c r="K12" i="8"/>
  <c r="J2" i="8"/>
  <c r="J7" i="8"/>
  <c r="J6" i="8"/>
  <c r="J12" i="8"/>
  <c r="I2" i="8"/>
  <c r="I7" i="8"/>
  <c r="I6" i="8"/>
  <c r="I12" i="8"/>
  <c r="Z11" i="8"/>
  <c r="Y6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G17" i="8"/>
  <c r="X9" i="8"/>
  <c r="X10" i="8"/>
  <c r="W9" i="8"/>
  <c r="W10" i="8"/>
  <c r="V9" i="8"/>
  <c r="V10" i="8"/>
  <c r="U9" i="8"/>
  <c r="U10" i="8"/>
  <c r="T9" i="8"/>
  <c r="T10" i="8"/>
  <c r="S9" i="8"/>
  <c r="S10" i="8"/>
  <c r="R9" i="8"/>
  <c r="R10" i="8"/>
  <c r="Q9" i="8"/>
  <c r="Q10" i="8"/>
  <c r="P9" i="8"/>
  <c r="P10" i="8"/>
  <c r="O9" i="8"/>
  <c r="O10" i="8"/>
  <c r="N9" i="8"/>
  <c r="N10" i="8"/>
  <c r="M9" i="8"/>
  <c r="M10" i="8"/>
  <c r="L9" i="8"/>
  <c r="L10" i="8"/>
  <c r="K9" i="8"/>
  <c r="K10" i="8"/>
  <c r="J9" i="8"/>
  <c r="J10" i="8"/>
  <c r="I9" i="8"/>
  <c r="I10" i="8"/>
  <c r="C7" i="8"/>
  <c r="D7" i="8"/>
  <c r="D6" i="8"/>
  <c r="C6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C6" i="2"/>
  <c r="B3" i="2"/>
  <c r="I2" i="2"/>
  <c r="I6" i="2"/>
  <c r="B3" i="3"/>
  <c r="H2" i="3"/>
  <c r="H6" i="3"/>
  <c r="G14" i="3"/>
  <c r="B20" i="3"/>
  <c r="B8" i="3"/>
  <c r="G18" i="3"/>
  <c r="C20" i="3"/>
  <c r="D20" i="3"/>
  <c r="B8" i="2"/>
  <c r="C9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G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C20" i="2"/>
  <c r="B20" i="2"/>
  <c r="G14" i="2"/>
  <c r="G18" i="2"/>
  <c r="H2" i="2"/>
  <c r="H6" i="2"/>
  <c r="G2" i="2"/>
  <c r="G6" i="2"/>
  <c r="J2" i="2"/>
  <c r="J6" i="2"/>
  <c r="K2" i="2"/>
  <c r="K6" i="2"/>
  <c r="L2" i="2"/>
  <c r="L6" i="2"/>
  <c r="M2" i="2"/>
  <c r="M6" i="2"/>
  <c r="N2" i="2"/>
  <c r="N6" i="2"/>
  <c r="O2" i="2"/>
  <c r="O6" i="2"/>
  <c r="P2" i="2"/>
  <c r="P6" i="2"/>
  <c r="Q2" i="2"/>
  <c r="Q6" i="2"/>
  <c r="R2" i="2"/>
  <c r="R6" i="2"/>
  <c r="S2" i="2"/>
  <c r="S6" i="2"/>
  <c r="T2" i="2"/>
  <c r="T6" i="2"/>
  <c r="U2" i="2"/>
  <c r="U6" i="2"/>
  <c r="V2" i="2"/>
  <c r="V6" i="2"/>
  <c r="W2" i="2"/>
  <c r="W6" i="2"/>
  <c r="X2" i="2"/>
  <c r="X6" i="2"/>
  <c r="Y2" i="2"/>
  <c r="Y6" i="2"/>
  <c r="Z2" i="2"/>
  <c r="Z6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G15" i="2"/>
  <c r="G16" i="2"/>
  <c r="G15" i="3"/>
  <c r="F5" i="6"/>
  <c r="F6" i="6"/>
  <c r="G16" i="6"/>
  <c r="G5" i="6"/>
  <c r="G6" i="6"/>
  <c r="G10" i="6"/>
  <c r="H16" i="6"/>
  <c r="H5" i="6"/>
  <c r="H6" i="6"/>
  <c r="H10" i="6"/>
  <c r="I16" i="6"/>
  <c r="I5" i="6"/>
  <c r="I6" i="6"/>
  <c r="I10" i="6"/>
  <c r="J16" i="6"/>
  <c r="J5" i="6"/>
  <c r="J6" i="6"/>
  <c r="J10" i="6"/>
  <c r="K16" i="6"/>
  <c r="K5" i="6"/>
  <c r="K6" i="6"/>
  <c r="K10" i="6"/>
  <c r="L5" i="6"/>
  <c r="L6" i="6"/>
  <c r="L7" i="6"/>
  <c r="L16" i="6"/>
  <c r="B16" i="6"/>
  <c r="F7" i="6"/>
  <c r="F20" i="6"/>
  <c r="F5" i="4"/>
  <c r="F6" i="4"/>
  <c r="F7" i="4"/>
  <c r="F9" i="4"/>
  <c r="F13" i="4"/>
  <c r="F17" i="4"/>
  <c r="F19" i="6"/>
  <c r="G7" i="6"/>
  <c r="G20" i="6"/>
  <c r="H7" i="6"/>
  <c r="H20" i="6"/>
  <c r="I7" i="6"/>
  <c r="I20" i="6"/>
  <c r="J7" i="6"/>
  <c r="J20" i="6"/>
  <c r="K7" i="6"/>
  <c r="K20" i="6"/>
  <c r="L10" i="6"/>
  <c r="L20" i="6"/>
  <c r="B17" i="6"/>
  <c r="K17" i="6"/>
  <c r="L17" i="6"/>
  <c r="L15" i="6"/>
  <c r="L9" i="6"/>
  <c r="G17" i="6"/>
  <c r="H17" i="6"/>
  <c r="I17" i="6"/>
  <c r="J17" i="6"/>
  <c r="F17" i="6"/>
  <c r="B7" i="6"/>
  <c r="G12" i="6"/>
  <c r="G9" i="6"/>
  <c r="G14" i="6"/>
  <c r="H12" i="6"/>
  <c r="H9" i="6"/>
  <c r="H14" i="6"/>
  <c r="I12" i="6"/>
  <c r="I9" i="6"/>
  <c r="I14" i="6"/>
  <c r="J12" i="6"/>
  <c r="J9" i="6"/>
  <c r="J14" i="6"/>
  <c r="K12" i="6"/>
  <c r="K9" i="6"/>
  <c r="K14" i="6"/>
  <c r="L12" i="6"/>
  <c r="L14" i="6"/>
  <c r="F12" i="6"/>
  <c r="F9" i="6"/>
  <c r="F14" i="6"/>
  <c r="B8" i="6"/>
  <c r="F13" i="6"/>
  <c r="G13" i="6"/>
  <c r="H13" i="6"/>
  <c r="I13" i="6"/>
  <c r="J13" i="6"/>
  <c r="K13" i="6"/>
  <c r="L13" i="6"/>
  <c r="F15" i="6"/>
  <c r="G15" i="6"/>
  <c r="H15" i="6"/>
  <c r="I15" i="6"/>
  <c r="J15" i="6"/>
  <c r="K15" i="6"/>
  <c r="H8" i="6"/>
  <c r="I8" i="6"/>
  <c r="J8" i="6"/>
  <c r="K8" i="6"/>
  <c r="G8" i="6"/>
  <c r="F8" i="6"/>
  <c r="L8" i="6"/>
  <c r="B5" i="6"/>
  <c r="G25" i="6"/>
  <c r="H25" i="6"/>
  <c r="I25" i="6"/>
  <c r="J25" i="6"/>
  <c r="K25" i="6"/>
  <c r="L25" i="6"/>
  <c r="F25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L19" i="6"/>
  <c r="K19" i="6"/>
  <c r="J19" i="6"/>
  <c r="I19" i="6"/>
  <c r="H19" i="6"/>
  <c r="G19" i="6"/>
  <c r="L18" i="6"/>
  <c r="K18" i="6"/>
  <c r="J18" i="6"/>
  <c r="I18" i="6"/>
  <c r="H18" i="6"/>
  <c r="G18" i="6"/>
  <c r="F18" i="6"/>
  <c r="F16" i="4"/>
  <c r="B7" i="4"/>
  <c r="F10" i="4"/>
  <c r="G10" i="4"/>
  <c r="B8" i="4"/>
  <c r="F11" i="4"/>
  <c r="G11" i="4"/>
  <c r="G5" i="4"/>
  <c r="G9" i="4"/>
  <c r="G15" i="4"/>
  <c r="F15" i="4"/>
  <c r="G14" i="4"/>
  <c r="G6" i="4"/>
  <c r="H14" i="4"/>
  <c r="H5" i="4"/>
  <c r="H9" i="4"/>
  <c r="H6" i="4"/>
  <c r="I14" i="4"/>
  <c r="I5" i="4"/>
  <c r="I9" i="4"/>
  <c r="I6" i="4"/>
  <c r="J14" i="4"/>
  <c r="J5" i="4"/>
  <c r="J9" i="4"/>
  <c r="J6" i="4"/>
  <c r="K14" i="4"/>
  <c r="K5" i="4"/>
  <c r="K9" i="4"/>
  <c r="K6" i="4"/>
  <c r="L14" i="4"/>
  <c r="H10" i="4"/>
  <c r="H11" i="4"/>
  <c r="H15" i="4"/>
  <c r="I10" i="4"/>
  <c r="I11" i="4"/>
  <c r="I15" i="4"/>
  <c r="J10" i="4"/>
  <c r="J11" i="4"/>
  <c r="J15" i="4"/>
  <c r="K10" i="4"/>
  <c r="K11" i="4"/>
  <c r="K15" i="4"/>
  <c r="L10" i="4"/>
  <c r="L5" i="4"/>
  <c r="L9" i="4"/>
  <c r="L11" i="4"/>
  <c r="L15" i="4"/>
  <c r="G27" i="2"/>
  <c r="G13" i="4"/>
  <c r="H13" i="4"/>
  <c r="I13" i="4"/>
  <c r="J13" i="4"/>
  <c r="K13" i="4"/>
  <c r="L13" i="4"/>
  <c r="B15" i="4"/>
  <c r="F8" i="4"/>
  <c r="G8" i="4"/>
  <c r="L6" i="4"/>
  <c r="L7" i="4"/>
  <c r="H8" i="4"/>
  <c r="I8" i="4"/>
  <c r="J8" i="4"/>
  <c r="K8" i="4"/>
  <c r="L8" i="4"/>
  <c r="G5" i="5"/>
  <c r="G6" i="5"/>
  <c r="H5" i="5"/>
  <c r="H6" i="5"/>
  <c r="I5" i="5"/>
  <c r="I6" i="5"/>
  <c r="J5" i="5"/>
  <c r="J6" i="5"/>
  <c r="K5" i="5"/>
  <c r="K6" i="5"/>
  <c r="L5" i="5"/>
  <c r="L6" i="5"/>
  <c r="M5" i="5"/>
  <c r="M6" i="5"/>
  <c r="B5" i="5"/>
  <c r="G7" i="4"/>
  <c r="G17" i="4"/>
  <c r="H7" i="4"/>
  <c r="H17" i="4"/>
  <c r="I7" i="4"/>
  <c r="I17" i="4"/>
  <c r="J7" i="4"/>
  <c r="J17" i="4"/>
  <c r="K7" i="4"/>
  <c r="K17" i="4"/>
  <c r="L17" i="4"/>
  <c r="G2" i="3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B11" i="4"/>
  <c r="B5" i="4"/>
  <c r="B16" i="4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G16" i="4"/>
  <c r="H16" i="4"/>
  <c r="I16" i="4"/>
  <c r="J16" i="4"/>
  <c r="K16" i="4"/>
  <c r="L16" i="4"/>
  <c r="G12" i="4"/>
  <c r="H12" i="4"/>
  <c r="I12" i="4"/>
  <c r="J12" i="4"/>
  <c r="K12" i="4"/>
  <c r="L12" i="4"/>
  <c r="F12" i="4"/>
  <c r="G17" i="3"/>
  <c r="G16" i="3"/>
  <c r="C7" i="3"/>
  <c r="D7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G5" i="2"/>
  <c r="I3" i="1"/>
  <c r="I2" i="1"/>
  <c r="H2" i="1"/>
  <c r="G17" i="2"/>
  <c r="Z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G4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G3" i="2"/>
  <c r="B5" i="1"/>
  <c r="B8" i="1"/>
  <c r="B7" i="1"/>
  <c r="J2" i="1"/>
  <c r="J3" i="1"/>
  <c r="K2" i="1" a="1"/>
  <c r="K2" i="1"/>
  <c r="L2" i="1"/>
  <c r="H3" i="1"/>
  <c r="K3" i="1"/>
  <c r="L3" i="1"/>
  <c r="K5" i="1"/>
  <c r="L5" i="1"/>
  <c r="K6" i="1" a="1"/>
  <c r="L6" i="1"/>
  <c r="M3" i="1"/>
  <c r="N3" i="1"/>
  <c r="K6" i="1"/>
  <c r="M2" i="1"/>
  <c r="N2" i="1"/>
  <c r="B13" i="4"/>
  <c r="B10" i="4"/>
  <c r="B12" i="4"/>
  <c r="B17" i="4"/>
  <c r="B21" i="4"/>
  <c r="F28" i="4"/>
  <c r="B20" i="4"/>
  <c r="E28" i="4"/>
  <c r="M25" i="6"/>
  <c r="B13" i="6"/>
  <c r="B11" i="6"/>
  <c r="B10" i="6"/>
  <c r="B14" i="6"/>
  <c r="B12" i="6"/>
  <c r="B21" i="6"/>
  <c r="B18" i="6"/>
  <c r="B24" i="6"/>
  <c r="C27" i="6"/>
  <c r="B23" i="6"/>
  <c r="B27" i="6"/>
  <c r="L27" i="6"/>
  <c r="L24" i="6"/>
  <c r="K27" i="6"/>
  <c r="K24" i="6"/>
  <c r="G27" i="6"/>
  <c r="G24" i="6"/>
  <c r="H27" i="6"/>
  <c r="H24" i="6"/>
  <c r="I27" i="6"/>
  <c r="I24" i="6"/>
  <c r="J27" i="6"/>
  <c r="J24" i="6"/>
  <c r="F27" i="6"/>
  <c r="F24" i="6"/>
  <c r="G28" i="6"/>
  <c r="H29" i="6"/>
  <c r="I30" i="6"/>
  <c r="J31" i="6"/>
  <c r="K32" i="6"/>
  <c r="H28" i="6"/>
  <c r="I29" i="6"/>
  <c r="J30" i="6"/>
  <c r="K31" i="6"/>
  <c r="I28" i="6"/>
  <c r="J29" i="6"/>
  <c r="K30" i="6"/>
  <c r="J28" i="6"/>
  <c r="K29" i="6"/>
  <c r="K28" i="6"/>
  <c r="L28" i="6"/>
  <c r="L29" i="6"/>
  <c r="L30" i="6"/>
  <c r="L31" i="6"/>
  <c r="L32" i="6"/>
  <c r="L33" i="6"/>
  <c r="B20" i="6"/>
  <c r="B15" i="6"/>
  <c r="B19" i="6"/>
  <c r="M24" i="6"/>
  <c r="M27" i="6"/>
  <c r="F28" i="6"/>
  <c r="G29" i="6"/>
  <c r="H30" i="6"/>
  <c r="I31" i="6"/>
  <c r="J32" i="6"/>
  <c r="K33" i="6"/>
  <c r="L34" i="6"/>
  <c r="M28" i="6"/>
  <c r="F29" i="6"/>
  <c r="G30" i="6"/>
  <c r="H31" i="6"/>
  <c r="I32" i="6"/>
  <c r="J33" i="6"/>
  <c r="K34" i="6"/>
  <c r="L35" i="6"/>
  <c r="M29" i="6"/>
  <c r="F30" i="6"/>
  <c r="G31" i="6"/>
  <c r="H32" i="6"/>
  <c r="I33" i="6"/>
  <c r="J34" i="6"/>
  <c r="K35" i="6"/>
  <c r="L36" i="6"/>
  <c r="M30" i="6"/>
  <c r="F31" i="6"/>
  <c r="G32" i="6"/>
  <c r="H33" i="6"/>
  <c r="I34" i="6"/>
  <c r="J35" i="6"/>
  <c r="K36" i="6"/>
  <c r="L37" i="6"/>
  <c r="M31" i="6"/>
  <c r="F32" i="6"/>
  <c r="G33" i="6"/>
  <c r="H34" i="6"/>
  <c r="I35" i="6"/>
  <c r="J36" i="6"/>
  <c r="K37" i="6"/>
  <c r="L38" i="6"/>
  <c r="M32" i="6"/>
  <c r="F33" i="6"/>
  <c r="G34" i="6"/>
  <c r="H35" i="6"/>
  <c r="I36" i="6"/>
  <c r="J37" i="6"/>
  <c r="K38" i="6"/>
  <c r="L39" i="6"/>
  <c r="M33" i="6"/>
  <c r="F34" i="6"/>
  <c r="G35" i="6"/>
  <c r="H36" i="6"/>
  <c r="I37" i="6"/>
  <c r="J38" i="6"/>
  <c r="K39" i="6"/>
  <c r="L40" i="6"/>
  <c r="M34" i="6"/>
  <c r="F35" i="6"/>
  <c r="G36" i="6"/>
  <c r="H37" i="6"/>
  <c r="I38" i="6"/>
  <c r="J39" i="6"/>
  <c r="K40" i="6"/>
  <c r="L41" i="6"/>
  <c r="M35" i="6"/>
  <c r="F36" i="6"/>
  <c r="G37" i="6"/>
  <c r="H38" i="6"/>
  <c r="I39" i="6"/>
  <c r="J40" i="6"/>
  <c r="K41" i="6"/>
  <c r="L42" i="6"/>
  <c r="M36" i="6"/>
  <c r="F37" i="6"/>
  <c r="G38" i="6"/>
  <c r="H39" i="6"/>
  <c r="I40" i="6"/>
  <c r="J41" i="6"/>
  <c r="K42" i="6"/>
  <c r="L43" i="6"/>
  <c r="M37" i="6"/>
  <c r="F38" i="6"/>
  <c r="G39" i="6"/>
  <c r="H40" i="6"/>
  <c r="I41" i="6"/>
  <c r="J42" i="6"/>
  <c r="K43" i="6"/>
  <c r="L44" i="6"/>
  <c r="M38" i="6"/>
  <c r="F39" i="6"/>
  <c r="G40" i="6"/>
  <c r="H41" i="6"/>
  <c r="I42" i="6"/>
  <c r="J43" i="6"/>
  <c r="K44" i="6"/>
  <c r="L45" i="6"/>
  <c r="M39" i="6"/>
  <c r="F40" i="6"/>
  <c r="G41" i="6"/>
  <c r="H42" i="6"/>
  <c r="I43" i="6"/>
  <c r="J44" i="6"/>
  <c r="K45" i="6"/>
  <c r="L46" i="6"/>
  <c r="M40" i="6"/>
  <c r="F41" i="6"/>
  <c r="G42" i="6"/>
  <c r="H43" i="6"/>
  <c r="I44" i="6"/>
  <c r="J45" i="6"/>
  <c r="K46" i="6"/>
  <c r="L47" i="6"/>
  <c r="M41" i="6"/>
  <c r="F42" i="6"/>
  <c r="G43" i="6"/>
  <c r="H44" i="6"/>
  <c r="I45" i="6"/>
  <c r="J46" i="6"/>
  <c r="K47" i="6"/>
  <c r="L48" i="6"/>
  <c r="M42" i="6"/>
  <c r="F43" i="6"/>
  <c r="G44" i="6"/>
  <c r="H45" i="6"/>
  <c r="I46" i="6"/>
  <c r="J47" i="6"/>
  <c r="K48" i="6"/>
  <c r="L49" i="6"/>
  <c r="M43" i="6"/>
  <c r="F44" i="6"/>
  <c r="G45" i="6"/>
  <c r="H46" i="6"/>
  <c r="I47" i="6"/>
  <c r="J48" i="6"/>
  <c r="K49" i="6"/>
  <c r="L50" i="6"/>
  <c r="M44" i="6"/>
  <c r="F45" i="6"/>
  <c r="G46" i="6"/>
  <c r="H47" i="6"/>
  <c r="I48" i="6"/>
  <c r="J49" i="6"/>
  <c r="K50" i="6"/>
  <c r="L51" i="6"/>
  <c r="M45" i="6"/>
  <c r="F46" i="6"/>
  <c r="G47" i="6"/>
  <c r="H48" i="6"/>
  <c r="I49" i="6"/>
  <c r="J50" i="6"/>
  <c r="K51" i="6"/>
  <c r="L52" i="6"/>
  <c r="M46" i="6"/>
  <c r="F47" i="6"/>
  <c r="G48" i="6"/>
  <c r="H49" i="6"/>
  <c r="I50" i="6"/>
  <c r="J51" i="6"/>
  <c r="K52" i="6"/>
  <c r="L53" i="6"/>
  <c r="M47" i="6"/>
  <c r="F48" i="6"/>
  <c r="G49" i="6"/>
  <c r="H50" i="6"/>
  <c r="I51" i="6"/>
  <c r="J52" i="6"/>
  <c r="K53" i="6"/>
  <c r="L54" i="6"/>
  <c r="M48" i="6"/>
  <c r="F49" i="6"/>
  <c r="G50" i="6"/>
  <c r="H51" i="6"/>
  <c r="I52" i="6"/>
  <c r="J53" i="6"/>
  <c r="K54" i="6"/>
  <c r="L55" i="6"/>
  <c r="M49" i="6"/>
  <c r="F50" i="6"/>
  <c r="G51" i="6"/>
  <c r="H52" i="6"/>
  <c r="I53" i="6"/>
  <c r="J54" i="6"/>
  <c r="K55" i="6"/>
  <c r="L56" i="6"/>
  <c r="M50" i="6"/>
  <c r="F51" i="6"/>
  <c r="G52" i="6"/>
  <c r="H53" i="6"/>
  <c r="I54" i="6"/>
  <c r="J55" i="6"/>
  <c r="K56" i="6"/>
  <c r="L57" i="6"/>
  <c r="M51" i="6"/>
  <c r="F52" i="6"/>
  <c r="G53" i="6"/>
  <c r="H54" i="6"/>
  <c r="I55" i="6"/>
  <c r="J56" i="6"/>
  <c r="K57" i="6"/>
  <c r="L58" i="6"/>
  <c r="M52" i="6"/>
  <c r="F53" i="6"/>
  <c r="G54" i="6"/>
  <c r="H55" i="6"/>
  <c r="I56" i="6"/>
  <c r="J57" i="6"/>
  <c r="K58" i="6"/>
  <c r="L59" i="6"/>
  <c r="M53" i="6"/>
  <c r="F54" i="6"/>
  <c r="G55" i="6"/>
  <c r="H56" i="6"/>
  <c r="I57" i="6"/>
  <c r="J58" i="6"/>
  <c r="K59" i="6"/>
  <c r="L60" i="6"/>
  <c r="M54" i="6"/>
  <c r="F55" i="6"/>
  <c r="G56" i="6"/>
  <c r="H57" i="6"/>
  <c r="I58" i="6"/>
  <c r="J59" i="6"/>
  <c r="K60" i="6"/>
  <c r="L61" i="6"/>
  <c r="M55" i="6"/>
  <c r="F56" i="6"/>
  <c r="G57" i="6"/>
  <c r="H58" i="6"/>
  <c r="I59" i="6"/>
  <c r="J60" i="6"/>
  <c r="K61" i="6"/>
  <c r="L62" i="6"/>
  <c r="M56" i="6"/>
  <c r="F57" i="6"/>
  <c r="G58" i="6"/>
  <c r="H59" i="6"/>
  <c r="I60" i="6"/>
  <c r="J61" i="6"/>
  <c r="K62" i="6"/>
  <c r="L63" i="6"/>
  <c r="M57" i="6"/>
  <c r="F58" i="6"/>
  <c r="G59" i="6"/>
  <c r="H60" i="6"/>
  <c r="I61" i="6"/>
  <c r="J62" i="6"/>
  <c r="K63" i="6"/>
  <c r="L64" i="6"/>
  <c r="M58" i="6"/>
  <c r="F59" i="6"/>
  <c r="G60" i="6"/>
  <c r="H61" i="6"/>
  <c r="I62" i="6"/>
  <c r="J63" i="6"/>
  <c r="K64" i="6"/>
  <c r="L65" i="6"/>
  <c r="M59" i="6"/>
  <c r="F60" i="6"/>
  <c r="G61" i="6"/>
  <c r="H62" i="6"/>
  <c r="I63" i="6"/>
  <c r="J64" i="6"/>
  <c r="K65" i="6"/>
  <c r="L66" i="6"/>
  <c r="M60" i="6"/>
  <c r="F61" i="6"/>
  <c r="G62" i="6"/>
  <c r="H63" i="6"/>
  <c r="I64" i="6"/>
  <c r="J65" i="6"/>
  <c r="K66" i="6"/>
  <c r="L67" i="6"/>
  <c r="M61" i="6"/>
  <c r="F62" i="6"/>
  <c r="G63" i="6"/>
  <c r="H64" i="6"/>
  <c r="I65" i="6"/>
  <c r="J66" i="6"/>
  <c r="K67" i="6"/>
  <c r="L68" i="6"/>
  <c r="M62" i="6"/>
  <c r="F63" i="6"/>
  <c r="G64" i="6"/>
  <c r="H65" i="6"/>
  <c r="I66" i="6"/>
  <c r="J67" i="6"/>
  <c r="K68" i="6"/>
  <c r="L69" i="6"/>
  <c r="M63" i="6"/>
  <c r="F64" i="6"/>
  <c r="G65" i="6"/>
  <c r="H66" i="6"/>
  <c r="I67" i="6"/>
  <c r="J68" i="6"/>
  <c r="K69" i="6"/>
  <c r="L70" i="6"/>
  <c r="M64" i="6"/>
  <c r="F65" i="6"/>
  <c r="G66" i="6"/>
  <c r="H67" i="6"/>
  <c r="I68" i="6"/>
  <c r="J69" i="6"/>
  <c r="K70" i="6"/>
  <c r="L71" i="6"/>
  <c r="M65" i="6"/>
  <c r="F66" i="6"/>
  <c r="G67" i="6"/>
  <c r="H68" i="6"/>
  <c r="I69" i="6"/>
  <c r="J70" i="6"/>
  <c r="K71" i="6"/>
  <c r="L72" i="6"/>
  <c r="M66" i="6"/>
  <c r="F67" i="6"/>
  <c r="G68" i="6"/>
  <c r="H69" i="6"/>
  <c r="I70" i="6"/>
  <c r="J71" i="6"/>
  <c r="K72" i="6"/>
  <c r="L73" i="6"/>
  <c r="M67" i="6"/>
  <c r="F68" i="6"/>
  <c r="G69" i="6"/>
  <c r="H70" i="6"/>
  <c r="I71" i="6"/>
  <c r="J72" i="6"/>
  <c r="K73" i="6"/>
  <c r="L74" i="6"/>
  <c r="M68" i="6"/>
  <c r="F69" i="6"/>
  <c r="G70" i="6"/>
  <c r="H71" i="6"/>
  <c r="I72" i="6"/>
  <c r="J73" i="6"/>
  <c r="K74" i="6"/>
  <c r="L75" i="6"/>
  <c r="M69" i="6"/>
  <c r="F70" i="6"/>
  <c r="G71" i="6"/>
  <c r="H72" i="6"/>
  <c r="I73" i="6"/>
  <c r="J74" i="6"/>
  <c r="K75" i="6"/>
  <c r="L76" i="6"/>
  <c r="M70" i="6"/>
  <c r="F71" i="6"/>
  <c r="G72" i="6"/>
  <c r="H73" i="6"/>
  <c r="I74" i="6"/>
  <c r="J75" i="6"/>
  <c r="K76" i="6"/>
  <c r="L77" i="6"/>
  <c r="M71" i="6"/>
  <c r="F72" i="6"/>
  <c r="G73" i="6"/>
  <c r="H74" i="6"/>
  <c r="I75" i="6"/>
  <c r="J76" i="6"/>
  <c r="K77" i="6"/>
  <c r="L78" i="6"/>
  <c r="M72" i="6"/>
  <c r="F73" i="6"/>
  <c r="G74" i="6"/>
  <c r="H75" i="6"/>
  <c r="I76" i="6"/>
  <c r="J77" i="6"/>
  <c r="K78" i="6"/>
  <c r="L79" i="6"/>
  <c r="M73" i="6"/>
  <c r="F74" i="6"/>
  <c r="G75" i="6"/>
  <c r="H76" i="6"/>
  <c r="I77" i="6"/>
  <c r="J78" i="6"/>
  <c r="K79" i="6"/>
  <c r="L80" i="6"/>
  <c r="M74" i="6"/>
  <c r="F75" i="6"/>
  <c r="G76" i="6"/>
  <c r="H77" i="6"/>
  <c r="I78" i="6"/>
  <c r="J79" i="6"/>
  <c r="K80" i="6"/>
  <c r="L81" i="6"/>
  <c r="M75" i="6"/>
  <c r="F76" i="6"/>
  <c r="G77" i="6"/>
  <c r="H78" i="6"/>
  <c r="I79" i="6"/>
  <c r="J80" i="6"/>
  <c r="K81" i="6"/>
  <c r="L82" i="6"/>
  <c r="M76" i="6"/>
  <c r="F77" i="6"/>
  <c r="G78" i="6"/>
  <c r="H79" i="6"/>
  <c r="I80" i="6"/>
  <c r="J81" i="6"/>
  <c r="K82" i="6"/>
  <c r="L83" i="6"/>
  <c r="M77" i="6"/>
  <c r="F78" i="6"/>
  <c r="G79" i="6"/>
  <c r="H80" i="6"/>
  <c r="I81" i="6"/>
  <c r="J82" i="6"/>
  <c r="K83" i="6"/>
  <c r="L84" i="6"/>
  <c r="M78" i="6"/>
  <c r="F79" i="6"/>
  <c r="G80" i="6"/>
  <c r="H81" i="6"/>
  <c r="I82" i="6"/>
  <c r="J83" i="6"/>
  <c r="K84" i="6"/>
  <c r="L85" i="6"/>
  <c r="M79" i="6"/>
  <c r="F80" i="6"/>
  <c r="G81" i="6"/>
  <c r="H82" i="6"/>
  <c r="I83" i="6"/>
  <c r="J84" i="6"/>
  <c r="K85" i="6"/>
  <c r="L86" i="6"/>
  <c r="M80" i="6"/>
  <c r="F81" i="6"/>
  <c r="G82" i="6"/>
  <c r="H83" i="6"/>
  <c r="I84" i="6"/>
  <c r="J85" i="6"/>
  <c r="K86" i="6"/>
  <c r="L87" i="6"/>
  <c r="M81" i="6"/>
  <c r="F82" i="6"/>
  <c r="G83" i="6"/>
  <c r="H84" i="6"/>
  <c r="I85" i="6"/>
  <c r="J86" i="6"/>
  <c r="K87" i="6"/>
  <c r="L88" i="6"/>
  <c r="M82" i="6"/>
  <c r="F83" i="6"/>
  <c r="G84" i="6"/>
  <c r="H85" i="6"/>
  <c r="I86" i="6"/>
  <c r="J87" i="6"/>
  <c r="K88" i="6"/>
  <c r="L89" i="6"/>
  <c r="M83" i="6"/>
  <c r="F84" i="6"/>
  <c r="G85" i="6"/>
  <c r="H86" i="6"/>
  <c r="I87" i="6"/>
  <c r="J88" i="6"/>
  <c r="K89" i="6"/>
  <c r="L90" i="6"/>
  <c r="M84" i="6"/>
  <c r="F85" i="6"/>
  <c r="G86" i="6"/>
  <c r="H87" i="6"/>
  <c r="I88" i="6"/>
  <c r="J89" i="6"/>
  <c r="K90" i="6"/>
  <c r="L91" i="6"/>
  <c r="M85" i="6"/>
  <c r="F86" i="6"/>
  <c r="G87" i="6"/>
  <c r="H88" i="6"/>
  <c r="I89" i="6"/>
  <c r="J90" i="6"/>
  <c r="K91" i="6"/>
  <c r="L92" i="6"/>
  <c r="M86" i="6"/>
  <c r="F87" i="6"/>
  <c r="G88" i="6"/>
  <c r="H89" i="6"/>
  <c r="I90" i="6"/>
  <c r="J91" i="6"/>
  <c r="K92" i="6"/>
  <c r="L93" i="6"/>
  <c r="M87" i="6"/>
  <c r="F88" i="6"/>
  <c r="G89" i="6"/>
  <c r="H90" i="6"/>
  <c r="I91" i="6"/>
  <c r="J92" i="6"/>
  <c r="K93" i="6"/>
  <c r="L94" i="6"/>
  <c r="M88" i="6"/>
  <c r="F89" i="6"/>
  <c r="G90" i="6"/>
  <c r="H91" i="6"/>
  <c r="I92" i="6"/>
  <c r="J93" i="6"/>
  <c r="K94" i="6"/>
  <c r="L95" i="6"/>
  <c r="M89" i="6"/>
  <c r="F90" i="6"/>
  <c r="G91" i="6"/>
  <c r="H92" i="6"/>
  <c r="I93" i="6"/>
  <c r="J94" i="6"/>
  <c r="K95" i="6"/>
  <c r="L96" i="6"/>
  <c r="M90" i="6"/>
  <c r="F91" i="6"/>
  <c r="G92" i="6"/>
  <c r="H93" i="6"/>
  <c r="I94" i="6"/>
  <c r="J95" i="6"/>
  <c r="K96" i="6"/>
  <c r="L97" i="6"/>
  <c r="M91" i="6"/>
  <c r="F92" i="6"/>
  <c r="G93" i="6"/>
  <c r="H94" i="6"/>
  <c r="I95" i="6"/>
  <c r="J96" i="6"/>
  <c r="K97" i="6"/>
  <c r="L98" i="6"/>
  <c r="M92" i="6"/>
  <c r="F93" i="6"/>
  <c r="G94" i="6"/>
  <c r="H95" i="6"/>
  <c r="I96" i="6"/>
  <c r="J97" i="6"/>
  <c r="K98" i="6"/>
  <c r="L99" i="6"/>
  <c r="M93" i="6"/>
  <c r="F94" i="6"/>
  <c r="G95" i="6"/>
  <c r="H96" i="6"/>
  <c r="I97" i="6"/>
  <c r="J98" i="6"/>
  <c r="K99" i="6"/>
  <c r="L100" i="6"/>
  <c r="M94" i="6"/>
  <c r="F95" i="6"/>
  <c r="G96" i="6"/>
  <c r="H97" i="6"/>
  <c r="I98" i="6"/>
  <c r="J99" i="6"/>
  <c r="K100" i="6"/>
  <c r="L101" i="6"/>
  <c r="M95" i="6"/>
  <c r="F96" i="6"/>
  <c r="G97" i="6"/>
  <c r="H98" i="6"/>
  <c r="I99" i="6"/>
  <c r="J100" i="6"/>
  <c r="K101" i="6"/>
  <c r="L102" i="6"/>
  <c r="M96" i="6"/>
  <c r="F97" i="6"/>
  <c r="G98" i="6"/>
  <c r="H99" i="6"/>
  <c r="I100" i="6"/>
  <c r="J101" i="6"/>
  <c r="K102" i="6"/>
  <c r="L103" i="6"/>
  <c r="M97" i="6"/>
  <c r="F98" i="6"/>
  <c r="G99" i="6"/>
  <c r="H100" i="6"/>
  <c r="I101" i="6"/>
  <c r="J102" i="6"/>
  <c r="K103" i="6"/>
  <c r="L104" i="6"/>
  <c r="M98" i="6"/>
  <c r="F99" i="6"/>
  <c r="G100" i="6"/>
  <c r="H101" i="6"/>
  <c r="I102" i="6"/>
  <c r="J103" i="6"/>
  <c r="K104" i="6"/>
  <c r="L105" i="6"/>
  <c r="M99" i="6"/>
  <c r="F100" i="6"/>
  <c r="G101" i="6"/>
  <c r="H102" i="6"/>
  <c r="I103" i="6"/>
  <c r="J104" i="6"/>
  <c r="K105" i="6"/>
  <c r="L106" i="6"/>
  <c r="M100" i="6"/>
  <c r="F101" i="6"/>
  <c r="G102" i="6"/>
  <c r="H103" i="6"/>
  <c r="I104" i="6"/>
  <c r="J105" i="6"/>
  <c r="K106" i="6"/>
  <c r="L107" i="6"/>
  <c r="M101" i="6"/>
  <c r="F102" i="6"/>
  <c r="G103" i="6"/>
  <c r="H104" i="6"/>
  <c r="I105" i="6"/>
  <c r="J106" i="6"/>
  <c r="K107" i="6"/>
  <c r="L108" i="6"/>
  <c r="M102" i="6"/>
  <c r="F103" i="6"/>
  <c r="G104" i="6"/>
  <c r="H105" i="6"/>
  <c r="I106" i="6"/>
  <c r="J107" i="6"/>
  <c r="K108" i="6"/>
  <c r="L109" i="6"/>
  <c r="M103" i="6"/>
  <c r="F104" i="6"/>
  <c r="G105" i="6"/>
  <c r="H106" i="6"/>
  <c r="I107" i="6"/>
  <c r="J108" i="6"/>
  <c r="K109" i="6"/>
  <c r="L110" i="6"/>
  <c r="M104" i="6"/>
  <c r="F105" i="6"/>
  <c r="G106" i="6"/>
  <c r="H107" i="6"/>
  <c r="I108" i="6"/>
  <c r="J109" i="6"/>
  <c r="K110" i="6"/>
  <c r="L111" i="6"/>
  <c r="M105" i="6"/>
  <c r="F106" i="6"/>
  <c r="G107" i="6"/>
  <c r="H108" i="6"/>
  <c r="I109" i="6"/>
  <c r="J110" i="6"/>
  <c r="K111" i="6"/>
  <c r="L112" i="6"/>
  <c r="M106" i="6"/>
  <c r="F107" i="6"/>
  <c r="G108" i="6"/>
  <c r="H109" i="6"/>
  <c r="I110" i="6"/>
  <c r="J111" i="6"/>
  <c r="K112" i="6"/>
  <c r="L113" i="6"/>
  <c r="M107" i="6"/>
  <c r="F108" i="6"/>
  <c r="G109" i="6"/>
  <c r="H110" i="6"/>
  <c r="I111" i="6"/>
  <c r="J112" i="6"/>
  <c r="K113" i="6"/>
  <c r="L114" i="6"/>
  <c r="M108" i="6"/>
  <c r="F109" i="6"/>
  <c r="G110" i="6"/>
  <c r="H111" i="6"/>
  <c r="I112" i="6"/>
  <c r="J113" i="6"/>
  <c r="K114" i="6"/>
  <c r="L115" i="6"/>
  <c r="M109" i="6"/>
  <c r="F110" i="6"/>
  <c r="G111" i="6"/>
  <c r="H112" i="6"/>
  <c r="I113" i="6"/>
  <c r="J114" i="6"/>
  <c r="K115" i="6"/>
  <c r="L116" i="6"/>
  <c r="M110" i="6"/>
  <c r="F111" i="6"/>
  <c r="G112" i="6"/>
  <c r="H113" i="6"/>
  <c r="I114" i="6"/>
  <c r="J115" i="6"/>
  <c r="K116" i="6"/>
  <c r="L117" i="6"/>
  <c r="M111" i="6"/>
  <c r="F112" i="6"/>
  <c r="G113" i="6"/>
  <c r="H114" i="6"/>
  <c r="I115" i="6"/>
  <c r="J116" i="6"/>
  <c r="K117" i="6"/>
  <c r="L118" i="6"/>
  <c r="M112" i="6"/>
  <c r="F113" i="6"/>
  <c r="G114" i="6"/>
  <c r="H115" i="6"/>
  <c r="I116" i="6"/>
  <c r="J117" i="6"/>
  <c r="K118" i="6"/>
  <c r="L119" i="6"/>
  <c r="M113" i="6"/>
  <c r="F114" i="6"/>
  <c r="G115" i="6"/>
  <c r="H116" i="6"/>
  <c r="I117" i="6"/>
  <c r="J118" i="6"/>
  <c r="K119" i="6"/>
  <c r="L120" i="6"/>
  <c r="M114" i="6"/>
  <c r="F115" i="6"/>
  <c r="G116" i="6"/>
  <c r="H117" i="6"/>
  <c r="I118" i="6"/>
  <c r="J119" i="6"/>
  <c r="K120" i="6"/>
  <c r="L121" i="6"/>
  <c r="M115" i="6"/>
  <c r="F116" i="6"/>
  <c r="G117" i="6"/>
  <c r="H118" i="6"/>
  <c r="I119" i="6"/>
  <c r="J120" i="6"/>
  <c r="K121" i="6"/>
  <c r="L122" i="6"/>
  <c r="M116" i="6"/>
  <c r="F117" i="6"/>
  <c r="G118" i="6"/>
  <c r="H119" i="6"/>
  <c r="I120" i="6"/>
  <c r="J121" i="6"/>
  <c r="K122" i="6"/>
  <c r="L123" i="6"/>
  <c r="M117" i="6"/>
  <c r="F118" i="6"/>
  <c r="G119" i="6"/>
  <c r="H120" i="6"/>
  <c r="I121" i="6"/>
  <c r="J122" i="6"/>
  <c r="K123" i="6"/>
  <c r="L124" i="6"/>
  <c r="M118" i="6"/>
  <c r="F119" i="6"/>
  <c r="G120" i="6"/>
  <c r="H121" i="6"/>
  <c r="I122" i="6"/>
  <c r="J123" i="6"/>
  <c r="K124" i="6"/>
  <c r="L125" i="6"/>
  <c r="M119" i="6"/>
  <c r="F120" i="6"/>
  <c r="G121" i="6"/>
  <c r="H122" i="6"/>
  <c r="I123" i="6"/>
  <c r="J124" i="6"/>
  <c r="K125" i="6"/>
  <c r="L126" i="6"/>
  <c r="M120" i="6"/>
  <c r="F121" i="6"/>
  <c r="M121" i="6"/>
  <c r="F122" i="6"/>
  <c r="G122" i="6"/>
  <c r="M122" i="6"/>
  <c r="F123" i="6"/>
  <c r="G123" i="6"/>
  <c r="H123" i="6"/>
  <c r="M123" i="6"/>
  <c r="F124" i="6"/>
  <c r="G124" i="6"/>
  <c r="H124" i="6"/>
  <c r="I124" i="6"/>
  <c r="M124" i="6"/>
  <c r="F125" i="6"/>
  <c r="G125" i="6"/>
  <c r="H125" i="6"/>
  <c r="I125" i="6"/>
  <c r="J125" i="6"/>
  <c r="M125" i="6"/>
  <c r="F126" i="6"/>
  <c r="G127" i="6"/>
  <c r="G126" i="6"/>
  <c r="H127" i="6"/>
  <c r="H126" i="6"/>
  <c r="I127" i="6"/>
  <c r="I126" i="6"/>
  <c r="J127" i="6"/>
  <c r="J126" i="6"/>
  <c r="K127" i="6"/>
  <c r="K126" i="6"/>
  <c r="L127" i="6"/>
  <c r="M126" i="6"/>
  <c r="F127" i="6"/>
  <c r="M127" i="6"/>
  <c r="N27" i="6"/>
  <c r="C9" i="6"/>
  <c r="D6" i="2"/>
  <c r="C7" i="2"/>
  <c r="D7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G8" i="2"/>
  <c r="H19" i="2"/>
  <c r="H8" i="2"/>
  <c r="H14" i="2"/>
  <c r="I19" i="2"/>
  <c r="I14" i="2"/>
  <c r="J8" i="2"/>
  <c r="J14" i="2"/>
  <c r="K8" i="2"/>
  <c r="K14" i="2"/>
  <c r="L8" i="2"/>
  <c r="L14" i="2"/>
  <c r="M8" i="2"/>
  <c r="M14" i="2"/>
  <c r="N8" i="2"/>
  <c r="N14" i="2"/>
  <c r="O8" i="2"/>
  <c r="O14" i="2"/>
  <c r="P8" i="2"/>
  <c r="P14" i="2"/>
  <c r="Q8" i="2"/>
  <c r="Q14" i="2"/>
  <c r="R8" i="2"/>
  <c r="R14" i="2"/>
  <c r="S8" i="2"/>
  <c r="S14" i="2"/>
  <c r="T8" i="2"/>
  <c r="T14" i="2"/>
  <c r="U8" i="2"/>
  <c r="U14" i="2"/>
  <c r="V8" i="2"/>
  <c r="V14" i="2"/>
  <c r="W8" i="2"/>
  <c r="W14" i="2"/>
  <c r="X8" i="2"/>
  <c r="X14" i="2"/>
  <c r="Y8" i="2"/>
  <c r="Z8" i="2"/>
  <c r="Y14" i="2"/>
  <c r="Z14" i="2"/>
  <c r="B19" i="2"/>
  <c r="H21" i="2"/>
  <c r="I21" i="2"/>
  <c r="Z9" i="2"/>
  <c r="Z10" i="2"/>
  <c r="Y9" i="2"/>
  <c r="H18" i="2"/>
  <c r="I18" i="2"/>
  <c r="H20" i="2"/>
  <c r="I20" i="2"/>
  <c r="Z30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11" i="2"/>
  <c r="G9" i="2"/>
  <c r="G10" i="2"/>
  <c r="G26" i="2"/>
  <c r="G12" i="2"/>
  <c r="G25" i="2"/>
  <c r="H12" i="2"/>
  <c r="H9" i="2"/>
  <c r="H10" i="2"/>
  <c r="H25" i="2"/>
  <c r="J12" i="2"/>
  <c r="J9" i="2"/>
  <c r="J10" i="2"/>
  <c r="K12" i="2"/>
  <c r="K9" i="2"/>
  <c r="K10" i="2"/>
  <c r="L12" i="2"/>
  <c r="L9" i="2"/>
  <c r="L10" i="2"/>
  <c r="M12" i="2"/>
  <c r="M9" i="2"/>
  <c r="M10" i="2"/>
  <c r="N12" i="2"/>
  <c r="N9" i="2"/>
  <c r="N10" i="2"/>
  <c r="O12" i="2"/>
  <c r="O9" i="2"/>
  <c r="O10" i="2"/>
  <c r="P12" i="2"/>
  <c r="P9" i="2"/>
  <c r="P10" i="2"/>
  <c r="Q12" i="2"/>
  <c r="Q9" i="2"/>
  <c r="Q10" i="2"/>
  <c r="R12" i="2"/>
  <c r="R9" i="2"/>
  <c r="R10" i="2"/>
  <c r="S12" i="2"/>
  <c r="S9" i="2"/>
  <c r="S10" i="2"/>
  <c r="T12" i="2"/>
  <c r="T9" i="2"/>
  <c r="T10" i="2"/>
  <c r="U12" i="2"/>
  <c r="U9" i="2"/>
  <c r="U10" i="2"/>
  <c r="V12" i="2"/>
  <c r="V9" i="2"/>
  <c r="V10" i="2"/>
  <c r="W12" i="2"/>
  <c r="W9" i="2"/>
  <c r="W10" i="2"/>
  <c r="X12" i="2"/>
  <c r="X9" i="2"/>
  <c r="X10" i="2"/>
  <c r="Y12" i="2"/>
  <c r="Y10" i="2"/>
  <c r="Z12" i="2"/>
  <c r="G24" i="2"/>
  <c r="H11" i="2"/>
  <c r="H24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G23" i="2"/>
  <c r="H23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22" i="2"/>
  <c r="H22" i="2"/>
  <c r="D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B18" i="2"/>
  <c r="B17" i="2"/>
  <c r="B15" i="2"/>
  <c r="B18" i="3"/>
  <c r="G8" i="3"/>
  <c r="H1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Y9" i="3"/>
  <c r="Z8" i="3"/>
  <c r="Z9" i="3"/>
  <c r="Z10" i="3"/>
  <c r="H19" i="3"/>
  <c r="H21" i="3"/>
  <c r="H20" i="3"/>
  <c r="G12" i="3"/>
  <c r="G9" i="3"/>
  <c r="G10" i="3"/>
  <c r="G25" i="3"/>
  <c r="I12" i="3"/>
  <c r="I9" i="3"/>
  <c r="I10" i="3"/>
  <c r="J12" i="3"/>
  <c r="J9" i="3"/>
  <c r="J10" i="3"/>
  <c r="K12" i="3"/>
  <c r="K9" i="3"/>
  <c r="K10" i="3"/>
  <c r="L12" i="3"/>
  <c r="L9" i="3"/>
  <c r="L10" i="3"/>
  <c r="M12" i="3"/>
  <c r="M9" i="3"/>
  <c r="M10" i="3"/>
  <c r="N12" i="3"/>
  <c r="N9" i="3"/>
  <c r="N10" i="3"/>
  <c r="O12" i="3"/>
  <c r="O9" i="3"/>
  <c r="O10" i="3"/>
  <c r="P12" i="3"/>
  <c r="P9" i="3"/>
  <c r="P10" i="3"/>
  <c r="Q12" i="3"/>
  <c r="Q9" i="3"/>
  <c r="Q10" i="3"/>
  <c r="R12" i="3"/>
  <c r="R9" i="3"/>
  <c r="R10" i="3"/>
  <c r="S12" i="3"/>
  <c r="S9" i="3"/>
  <c r="S10" i="3"/>
  <c r="T12" i="3"/>
  <c r="T9" i="3"/>
  <c r="T10" i="3"/>
  <c r="U12" i="3"/>
  <c r="U9" i="3"/>
  <c r="U10" i="3"/>
  <c r="V12" i="3"/>
  <c r="V9" i="3"/>
  <c r="V10" i="3"/>
  <c r="W12" i="3"/>
  <c r="W9" i="3"/>
  <c r="W10" i="3"/>
  <c r="X12" i="3"/>
  <c r="X9" i="3"/>
  <c r="X10" i="3"/>
  <c r="Y12" i="3"/>
  <c r="Y10" i="3"/>
  <c r="Z12" i="3"/>
  <c r="G11" i="3"/>
  <c r="G24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G23" i="3"/>
  <c r="G22" i="3"/>
  <c r="G26" i="3"/>
  <c r="I8" i="2"/>
  <c r="I12" i="2"/>
  <c r="C23" i="2"/>
  <c r="C29" i="2"/>
  <c r="I11" i="2"/>
  <c r="B23" i="2"/>
  <c r="B29" i="2"/>
  <c r="C10" i="2"/>
  <c r="B10" i="2"/>
  <c r="G29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B21" i="2"/>
  <c r="B26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B24" i="2"/>
  <c r="B30" i="2"/>
  <c r="H2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C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C22" i="2"/>
  <c r="C27" i="2"/>
  <c r="C26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C24" i="2"/>
  <c r="I9" i="2"/>
  <c r="I10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C25" i="2"/>
  <c r="B41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B22" i="2"/>
  <c r="B27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B25" i="2"/>
  <c r="B40" i="2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B19" i="3"/>
  <c r="B17" i="3"/>
  <c r="H8" i="3"/>
  <c r="H11" i="3"/>
  <c r="B23" i="3"/>
  <c r="B29" i="3"/>
  <c r="H12" i="3"/>
  <c r="C23" i="3"/>
  <c r="C29" i="3"/>
  <c r="B10" i="3"/>
  <c r="B11" i="3"/>
  <c r="C10" i="3"/>
  <c r="C11" i="3"/>
  <c r="B12" i="3"/>
  <c r="C12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B21" i="3"/>
  <c r="B26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B24" i="3"/>
  <c r="B30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C21" i="3"/>
  <c r="C26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C24" i="3"/>
  <c r="C30" i="3"/>
  <c r="D3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B22" i="3"/>
  <c r="B27" i="3"/>
  <c r="H9" i="3"/>
  <c r="H10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B25" i="3"/>
  <c r="B42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C22" i="3"/>
  <c r="C27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C25" i="3"/>
  <c r="C43" i="3"/>
  <c r="D42" i="3"/>
  <c r="D47" i="3"/>
  <c r="D48" i="3"/>
  <c r="D29" i="3"/>
  <c r="B32" i="3"/>
  <c r="G29" i="3"/>
  <c r="H29" i="3"/>
  <c r="C31" i="3"/>
  <c r="B31" i="3"/>
  <c r="C42" i="3"/>
  <c r="B43" i="3"/>
  <c r="B44" i="3" a="1"/>
  <c r="B44" i="3"/>
  <c r="C44" i="3"/>
  <c r="B45" i="3"/>
  <c r="C45" i="3"/>
  <c r="B35" i="3"/>
  <c r="B34" i="3"/>
  <c r="C34" i="3"/>
  <c r="C35" i="3"/>
  <c r="C32" i="3"/>
  <c r="Z30" i="3"/>
  <c r="C41" i="2"/>
  <c r="C40" i="2"/>
  <c r="C30" i="2"/>
  <c r="B36" i="3" a="1"/>
  <c r="B36" i="3"/>
  <c r="C36" i="3"/>
  <c r="B37" i="3"/>
  <c r="C37" i="3"/>
  <c r="B39" i="3" a="1"/>
  <c r="B39" i="3"/>
  <c r="B40" i="3"/>
  <c r="C39" i="3"/>
  <c r="C40" i="3"/>
  <c r="B47" i="3" a="1"/>
  <c r="B47" i="3"/>
  <c r="B48" i="3"/>
  <c r="C47" i="3"/>
  <c r="C48" i="3"/>
  <c r="B42" i="2" a="1"/>
  <c r="B42" i="2"/>
  <c r="C42" i="2"/>
  <c r="B43" i="2"/>
  <c r="C43" i="2"/>
  <c r="B45" i="2" a="1"/>
  <c r="B45" i="2"/>
  <c r="B46" i="2"/>
  <c r="C45" i="2"/>
  <c r="C46" i="2"/>
  <c r="B13" i="3"/>
  <c r="C13" i="3"/>
  <c r="C6" i="3"/>
  <c r="H15" i="3"/>
  <c r="H17" i="3"/>
  <c r="I15" i="3"/>
  <c r="I17" i="3"/>
  <c r="J15" i="3"/>
  <c r="J17" i="3"/>
  <c r="K15" i="3"/>
  <c r="K17" i="3"/>
  <c r="L15" i="3"/>
  <c r="L17" i="3"/>
  <c r="M15" i="3"/>
  <c r="M17" i="3"/>
  <c r="N15" i="3"/>
  <c r="N17" i="3"/>
  <c r="O15" i="3"/>
  <c r="O17" i="3"/>
  <c r="P15" i="3"/>
  <c r="P17" i="3"/>
  <c r="Q15" i="3"/>
  <c r="Q17" i="3"/>
  <c r="R15" i="3"/>
  <c r="R17" i="3"/>
  <c r="S15" i="3"/>
  <c r="S17" i="3"/>
  <c r="T15" i="3"/>
  <c r="T17" i="3"/>
  <c r="U15" i="3"/>
  <c r="U17" i="3"/>
  <c r="V15" i="3"/>
  <c r="V17" i="3"/>
  <c r="W15" i="3"/>
  <c r="W17" i="3"/>
  <c r="X15" i="3"/>
  <c r="X17" i="3"/>
  <c r="Y15" i="3"/>
  <c r="Y17" i="3"/>
  <c r="Z15" i="3"/>
  <c r="Z17" i="3"/>
  <c r="Y27" i="3"/>
  <c r="Z27" i="3"/>
  <c r="H11" i="8"/>
  <c r="Y11" i="8"/>
  <c r="H12" i="8"/>
  <c r="Y12" i="8"/>
  <c r="H9" i="8"/>
  <c r="H10" i="8"/>
  <c r="Y10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B18" i="8"/>
  <c r="B17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B24" i="8"/>
  <c r="C26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C24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C25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B25" i="8"/>
  <c r="B15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Z30" i="8"/>
  <c r="C23" i="8"/>
  <c r="C41" i="8"/>
  <c r="C29" i="8"/>
  <c r="B23" i="8"/>
  <c r="B29" i="8"/>
  <c r="G29" i="8"/>
  <c r="B30" i="8"/>
  <c r="H29" i="8"/>
  <c r="C30" i="8"/>
  <c r="B31" i="8"/>
  <c r="C31" i="8"/>
  <c r="B40" i="8"/>
  <c r="B32" i="8"/>
  <c r="C33" i="8"/>
  <c r="B41" i="8"/>
  <c r="C40" i="8"/>
  <c r="B33" i="8"/>
  <c r="C32" i="8"/>
  <c r="B34" i="8" a="1"/>
  <c r="B34" i="8"/>
  <c r="C34" i="8"/>
  <c r="B35" i="8"/>
  <c r="C35" i="8"/>
  <c r="B36" i="8" a="1"/>
  <c r="B36" i="8"/>
  <c r="B37" i="8"/>
  <c r="C36" i="8"/>
  <c r="C37" i="8"/>
  <c r="B42" i="8" a="1"/>
  <c r="B42" i="8"/>
  <c r="C42" i="8"/>
  <c r="B43" i="8"/>
  <c r="C43" i="8"/>
  <c r="B45" i="8" a="1"/>
  <c r="B45" i="8"/>
  <c r="B46" i="8"/>
  <c r="C45" i="8"/>
  <c r="C46" i="8"/>
</calcChain>
</file>

<file path=xl/sharedStrings.xml><?xml version="1.0" encoding="utf-8"?>
<sst xmlns="http://schemas.openxmlformats.org/spreadsheetml/2006/main" count="302" uniqueCount="109">
  <si>
    <t>B</t>
  </si>
  <si>
    <t>M</t>
  </si>
  <si>
    <t>f_1</t>
  </si>
  <si>
    <t>f_2</t>
  </si>
  <si>
    <t>Z</t>
  </si>
  <si>
    <t>C_1</t>
  </si>
  <si>
    <t>C_2</t>
  </si>
  <si>
    <t>Catch</t>
  </si>
  <si>
    <t>F</t>
  </si>
  <si>
    <t>J</t>
  </si>
  <si>
    <t>invJ</t>
  </si>
  <si>
    <t>delta</t>
  </si>
  <si>
    <t>fx</t>
  </si>
  <si>
    <t>Fiter</t>
  </si>
  <si>
    <t>B*F1*EXP(-M-F1-F2-F3)/(M+F1+F2+F3)+B*F1*(1-EXP(-M-F1-F2-F3))/(M+F1+F2+F3)^2</t>
  </si>
  <si>
    <t>ro</t>
  </si>
  <si>
    <t>h</t>
  </si>
  <si>
    <t>m</t>
  </si>
  <si>
    <t>vbk</t>
  </si>
  <si>
    <t>Age</t>
  </si>
  <si>
    <t>wa</t>
  </si>
  <si>
    <t>fa</t>
  </si>
  <si>
    <t>lx</t>
  </si>
  <si>
    <t>va</t>
  </si>
  <si>
    <t>V</t>
  </si>
  <si>
    <t>lz</t>
  </si>
  <si>
    <t>lz'</t>
  </si>
  <si>
    <t>fe1</t>
  </si>
  <si>
    <t>fe2</t>
  </si>
  <si>
    <t>dh</t>
  </si>
  <si>
    <t>fe</t>
  </si>
  <si>
    <t>dlz/df</t>
  </si>
  <si>
    <t>fe+dh</t>
  </si>
  <si>
    <t>dlz/df1</t>
  </si>
  <si>
    <t>dlz/df2</t>
  </si>
  <si>
    <t>za</t>
  </si>
  <si>
    <t xml:space="preserve"> </t>
  </si>
  <si>
    <t>phie</t>
  </si>
  <si>
    <t>phif</t>
  </si>
  <si>
    <t>qa</t>
  </si>
  <si>
    <t>Q</t>
  </si>
  <si>
    <t>phiq</t>
  </si>
  <si>
    <t>ah</t>
  </si>
  <si>
    <t>dphiq</t>
  </si>
  <si>
    <t>dq/df1</t>
  </si>
  <si>
    <t>dq/df2</t>
  </si>
  <si>
    <t>dre</t>
  </si>
  <si>
    <t>reck</t>
  </si>
  <si>
    <t>dphif</t>
  </si>
  <si>
    <t>f</t>
  </si>
  <si>
    <t>Ye</t>
  </si>
  <si>
    <t>re</t>
  </si>
  <si>
    <t>Jacobian</t>
  </si>
  <si>
    <t>dYe</t>
  </si>
  <si>
    <t>fiter</t>
  </si>
  <si>
    <t>Dye</t>
  </si>
  <si>
    <t>ddphiq</t>
  </si>
  <si>
    <t>ddre</t>
  </si>
  <si>
    <t>ddlz/df1</t>
  </si>
  <si>
    <t>ddlz/df2</t>
  </si>
  <si>
    <t>sa</t>
  </si>
  <si>
    <t>oa</t>
  </si>
  <si>
    <t>ddq/df1</t>
  </si>
  <si>
    <t>ddq/df2</t>
  </si>
  <si>
    <t>ddphif</t>
  </si>
  <si>
    <t>dta</t>
  </si>
  <si>
    <t>lz''</t>
  </si>
  <si>
    <t>fe-dh</t>
  </si>
  <si>
    <t>ak</t>
  </si>
  <si>
    <t>pk</t>
  </si>
  <si>
    <t>lambda</t>
  </si>
  <si>
    <t>fi</t>
  </si>
  <si>
    <t>lYe</t>
  </si>
  <si>
    <t>dlYe_df</t>
  </si>
  <si>
    <t>Sum</t>
  </si>
  <si>
    <t>dlam</t>
  </si>
  <si>
    <t>age</t>
  </si>
  <si>
    <t>kappa</t>
  </si>
  <si>
    <t>dlz</t>
  </si>
  <si>
    <t>dlz'</t>
  </si>
  <si>
    <t>dqa</t>
  </si>
  <si>
    <t>ye</t>
  </si>
  <si>
    <t>dye</t>
  </si>
  <si>
    <t>dfe</t>
  </si>
  <si>
    <t>p</t>
  </si>
  <si>
    <t>na</t>
  </si>
  <si>
    <t>Ct</t>
  </si>
  <si>
    <t>ft</t>
  </si>
  <si>
    <t>ca</t>
  </si>
  <si>
    <t>Chat</t>
  </si>
  <si>
    <t>zf</t>
  </si>
  <si>
    <t>feh</t>
  </si>
  <si>
    <t>fem</t>
  </si>
  <si>
    <t>d2lz</t>
  </si>
  <si>
    <t>d2lz'</t>
  </si>
  <si>
    <t>lw</t>
  </si>
  <si>
    <t>dlw</t>
  </si>
  <si>
    <t>Year</t>
  </si>
  <si>
    <t>Sb</t>
  </si>
  <si>
    <t>so</t>
  </si>
  <si>
    <t>beta</t>
  </si>
  <si>
    <t>Sbe</t>
  </si>
  <si>
    <t>SB</t>
  </si>
  <si>
    <t>Sbo</t>
  </si>
  <si>
    <t>Sbi</t>
  </si>
  <si>
    <t>spr</t>
  </si>
  <si>
    <t>akdYe</t>
  </si>
  <si>
    <t>invJacobian</t>
  </si>
  <si>
    <t>fstp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</si>
</sst>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9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1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11" fontId="0" fillId="0" borderId="0" xfId="0" applyNumberFormat="1"/>
    <xf numFmtId="0" fontId="1" fillId="6" borderId="0" xfId="53"/>
    <xf numFmtId="0" fontId="1" fillId="7" borderId="0" xfId="54"/>
    <xf numFmtId="0" fontId="5" fillId="2" borderId="0" xfId="49"/>
    <xf numFmtId="0" fontId="7" fillId="4" borderId="1" xfId="51"/>
    <xf numFmtId="0" fontId="6" fillId="3" borderId="0" xfId="50"/>
    <xf numFmtId="2" fontId="0" fillId="0" borderId="0" xfId="0" applyNumberFormat="1"/>
    <xf numFmtId="0" fontId="1" fillId="5" borderId="0" xfId="52"/>
    <xf numFmtId="2" fontId="7" fillId="4" borderId="1" xfId="51" applyNumberFormat="1"/>
    <xf numFmtId="164" fontId="7" fillId="4" borderId="1" xfId="51" applyNumberFormat="1"/>
  </cellXfs>
  <cellStyles count="1909">
    <cellStyle name="20% - Accent1" xfId="52" builtinId="30"/>
    <cellStyle name="20% - Accent4" xfId="53" builtinId="42"/>
    <cellStyle name="20% - Accent6" xfId="54" builtinId="50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Good" xfId="49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Input" xfId="51" builtinId="20"/>
    <cellStyle name="Neutral" xfId="50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Sheet2!$G$6:$Z$6</c:f>
              <c:numCache>
                <c:formatCode>General</c:formatCode>
                <c:ptCount val="20"/>
                <c:pt idx="0">
                  <c:v>0.000552778636923599</c:v>
                </c:pt>
                <c:pt idx="1">
                  <c:v>0.00669285092428485</c:v>
                </c:pt>
                <c:pt idx="2">
                  <c:v>0.0758581800212435</c:v>
                </c:pt>
                <c:pt idx="3">
                  <c:v>0.5</c:v>
                </c:pt>
                <c:pt idx="4">
                  <c:v>0.924141819978757</c:v>
                </c:pt>
                <c:pt idx="5">
                  <c:v>0.993307149075715</c:v>
                </c:pt>
                <c:pt idx="6">
                  <c:v>0.999447221363076</c:v>
                </c:pt>
                <c:pt idx="7">
                  <c:v>0.999954602131298</c:v>
                </c:pt>
                <c:pt idx="8">
                  <c:v>0.999996273360716</c:v>
                </c:pt>
                <c:pt idx="9">
                  <c:v>0.999999694097773</c:v>
                </c:pt>
                <c:pt idx="10">
                  <c:v>0.999999974890009</c:v>
                </c:pt>
                <c:pt idx="11">
                  <c:v>0.999999997938846</c:v>
                </c:pt>
                <c:pt idx="12">
                  <c:v>0.99999999983081</c:v>
                </c:pt>
                <c:pt idx="13">
                  <c:v>0.999999999986112</c:v>
                </c:pt>
                <c:pt idx="14">
                  <c:v>0.99999999999886</c:v>
                </c:pt>
                <c:pt idx="15">
                  <c:v>0.999999999999906</c:v>
                </c:pt>
                <c:pt idx="16">
                  <c:v>0.999999999999992</c:v>
                </c:pt>
                <c:pt idx="17">
                  <c:v>0.999999999999999</c:v>
                </c:pt>
                <c:pt idx="18">
                  <c:v>1.0</c:v>
                </c:pt>
                <c:pt idx="19">
                  <c:v>1.0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Sheet2!$G$7:$Z$7</c:f>
              <c:numCache>
                <c:formatCode>General</c:formatCode>
                <c:ptCount val="20"/>
                <c:pt idx="0">
                  <c:v>0.000189405943825186</c:v>
                </c:pt>
                <c:pt idx="1">
                  <c:v>0.000789865941736462</c:v>
                </c:pt>
                <c:pt idx="2">
                  <c:v>0.00328766138593401</c:v>
                </c:pt>
                <c:pt idx="3">
                  <c:v>0.0135769169437444</c:v>
                </c:pt>
                <c:pt idx="4">
                  <c:v>0.0543132661326406</c:v>
                </c:pt>
                <c:pt idx="5">
                  <c:v>0.193321369802309</c:v>
                </c:pt>
                <c:pt idx="6">
                  <c:v>0.5</c:v>
                </c:pt>
                <c:pt idx="7">
                  <c:v>0.806678630197691</c:v>
                </c:pt>
                <c:pt idx="8">
                  <c:v>0.945686733867359</c:v>
                </c:pt>
                <c:pt idx="9">
                  <c:v>0.986423083056256</c:v>
                </c:pt>
                <c:pt idx="10">
                  <c:v>0.996712338614066</c:v>
                </c:pt>
                <c:pt idx="11">
                  <c:v>0.999210134058263</c:v>
                </c:pt>
                <c:pt idx="12">
                  <c:v>0.999810594056175</c:v>
                </c:pt>
                <c:pt idx="13">
                  <c:v>0.999954602131298</c:v>
                </c:pt>
                <c:pt idx="14">
                  <c:v>0.999989119978154</c:v>
                </c:pt>
                <c:pt idx="15">
                  <c:v>0.999997392569918</c:v>
                </c:pt>
                <c:pt idx="16">
                  <c:v>0.99999937512544</c:v>
                </c:pt>
                <c:pt idx="17">
                  <c:v>0.999999850248093</c:v>
                </c:pt>
                <c:pt idx="18">
                  <c:v>0.999999964111796</c:v>
                </c:pt>
                <c:pt idx="19">
                  <c:v>0.999999991399355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Sheet2!$F$3</c:f>
              <c:strCache>
                <c:ptCount val="1"/>
                <c:pt idx="0">
                  <c:v>fa</c:v>
                </c:pt>
              </c:strCache>
            </c:strRef>
          </c:tx>
          <c:marker>
            <c:symbol val="none"/>
          </c:marker>
          <c:val>
            <c:numRef>
              <c:f>Sheet2!$G$3:$Z$3</c:f>
              <c:numCache>
                <c:formatCode>General</c:formatCode>
                <c:ptCount val="2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0.252580457827647</c:v>
                </c:pt>
                <c:pt idx="5">
                  <c:v>0.341247501684339</c:v>
                </c:pt>
                <c:pt idx="6">
                  <c:v>0.427643719230357</c:v>
                </c:pt>
                <c:pt idx="7">
                  <c:v>0.508367310902113</c:v>
                </c:pt>
                <c:pt idx="8">
                  <c:v>0.581557921734505</c:v>
                </c:pt>
                <c:pt idx="9">
                  <c:v>0.646462314779698</c:v>
                </c:pt>
                <c:pt idx="10">
                  <c:v>0.703062176584656</c:v>
                </c:pt>
                <c:pt idx="11">
                  <c:v>0.751788795470446</c:v>
                </c:pt>
                <c:pt idx="12">
                  <c:v>0.793319223640301</c:v>
                </c:pt>
                <c:pt idx="13">
                  <c:v>0.828438535949616</c:v>
                </c:pt>
                <c:pt idx="14">
                  <c:v>0.85795164162232</c:v>
                </c:pt>
                <c:pt idx="15">
                  <c:v>0.882630331147932</c:v>
                </c:pt>
                <c:pt idx="16">
                  <c:v>0.903184345243872</c:v>
                </c:pt>
                <c:pt idx="17">
                  <c:v>0.920248190579841</c:v>
                </c:pt>
                <c:pt idx="18">
                  <c:v>0.934377843246983</c:v>
                </c:pt>
                <c:pt idx="19">
                  <c:v>0.946053327005152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4691576"/>
        <c:axId val="-2094688552"/>
      </c:lineChart>
      <c:catAx>
        <c:axId val="-209469157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4688552"/>
        <c:crosses val="autoZero"/>
        <c:auto val="1"/>
        <c:lblAlgn val="ctr"/>
        <c:lblOffset val="100"/>
        <c:noMultiLvlLbl val="0"/>
      </c:catAx>
      <c:valAx>
        <c:axId val="-2094688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46915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'Allocation Mar'!$G$6:$Z$6</c:f>
              <c:numCache>
                <c:formatCode>General</c:formatCode>
                <c:ptCount val="20"/>
                <c:pt idx="0">
                  <c:v>0.000552778636923599</c:v>
                </c:pt>
                <c:pt idx="1">
                  <c:v>0.00669285092428485</c:v>
                </c:pt>
                <c:pt idx="2">
                  <c:v>0.0758581800212435</c:v>
                </c:pt>
                <c:pt idx="3">
                  <c:v>0.5</c:v>
                </c:pt>
                <c:pt idx="4">
                  <c:v>0.924141819978757</c:v>
                </c:pt>
                <c:pt idx="5">
                  <c:v>0.993307149075715</c:v>
                </c:pt>
                <c:pt idx="6">
                  <c:v>0.999447221363076</c:v>
                </c:pt>
                <c:pt idx="7">
                  <c:v>0.999954602131298</c:v>
                </c:pt>
                <c:pt idx="8">
                  <c:v>0.999996273360716</c:v>
                </c:pt>
                <c:pt idx="9">
                  <c:v>0.999999694097773</c:v>
                </c:pt>
                <c:pt idx="10">
                  <c:v>0.999999974890009</c:v>
                </c:pt>
                <c:pt idx="11">
                  <c:v>0.999999997938846</c:v>
                </c:pt>
                <c:pt idx="12">
                  <c:v>0.99999999983081</c:v>
                </c:pt>
                <c:pt idx="13">
                  <c:v>0.999999999986112</c:v>
                </c:pt>
                <c:pt idx="14">
                  <c:v>0.99999999999886</c:v>
                </c:pt>
                <c:pt idx="15">
                  <c:v>0.999999999999906</c:v>
                </c:pt>
                <c:pt idx="16">
                  <c:v>0.999999999999992</c:v>
                </c:pt>
                <c:pt idx="17">
                  <c:v>0.999999999999999</c:v>
                </c:pt>
                <c:pt idx="18">
                  <c:v>1.0</c:v>
                </c:pt>
                <c:pt idx="19">
                  <c:v>1.0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'Allocation Mar'!$G$7:$Z$7</c:f>
              <c:numCache>
                <c:formatCode>General</c:formatCode>
                <c:ptCount val="20"/>
                <c:pt idx="0">
                  <c:v>0.000189405943825186</c:v>
                </c:pt>
                <c:pt idx="1">
                  <c:v>0.000789865941736462</c:v>
                </c:pt>
                <c:pt idx="2">
                  <c:v>0.00328766138593401</c:v>
                </c:pt>
                <c:pt idx="3">
                  <c:v>0.0135769169437444</c:v>
                </c:pt>
                <c:pt idx="4">
                  <c:v>0.0543132661326406</c:v>
                </c:pt>
                <c:pt idx="5">
                  <c:v>0.193321369802309</c:v>
                </c:pt>
                <c:pt idx="6">
                  <c:v>0.5</c:v>
                </c:pt>
                <c:pt idx="7">
                  <c:v>0.806678630197691</c:v>
                </c:pt>
                <c:pt idx="8">
                  <c:v>0.945686733867359</c:v>
                </c:pt>
                <c:pt idx="9">
                  <c:v>0.986423083056256</c:v>
                </c:pt>
                <c:pt idx="10">
                  <c:v>0.996712338614066</c:v>
                </c:pt>
                <c:pt idx="11">
                  <c:v>0.999210134058263</c:v>
                </c:pt>
                <c:pt idx="12">
                  <c:v>0.999810594056175</c:v>
                </c:pt>
                <c:pt idx="13">
                  <c:v>0.999954602131298</c:v>
                </c:pt>
                <c:pt idx="14">
                  <c:v>0.999989119978154</c:v>
                </c:pt>
                <c:pt idx="15">
                  <c:v>0.999997392569918</c:v>
                </c:pt>
                <c:pt idx="16">
                  <c:v>0.99999937512544</c:v>
                </c:pt>
                <c:pt idx="17">
                  <c:v>0.999999850248093</c:v>
                </c:pt>
                <c:pt idx="18">
                  <c:v>0.999999964111796</c:v>
                </c:pt>
                <c:pt idx="19">
                  <c:v>0.999999991399355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'Allocation Mar'!$F$3</c:f>
              <c:strCache>
                <c:ptCount val="1"/>
                <c:pt idx="0">
                  <c:v>fa</c:v>
                </c:pt>
              </c:strCache>
            </c:strRef>
          </c:tx>
          <c:marker>
            <c:symbol val="none"/>
          </c:marker>
          <c:val>
            <c:numRef>
              <c:f>'Allocation Mar'!$G$3:$Z$3</c:f>
              <c:numCache>
                <c:formatCode>General</c:formatCode>
                <c:ptCount val="2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0.252580457827647</c:v>
                </c:pt>
                <c:pt idx="5">
                  <c:v>0.341247501684339</c:v>
                </c:pt>
                <c:pt idx="6">
                  <c:v>0.427643719230357</c:v>
                </c:pt>
                <c:pt idx="7">
                  <c:v>0.508367310902113</c:v>
                </c:pt>
                <c:pt idx="8">
                  <c:v>0.581557921734505</c:v>
                </c:pt>
                <c:pt idx="9">
                  <c:v>0.646462314779698</c:v>
                </c:pt>
                <c:pt idx="10">
                  <c:v>0.703062176584656</c:v>
                </c:pt>
                <c:pt idx="11">
                  <c:v>0.751788795470446</c:v>
                </c:pt>
                <c:pt idx="12">
                  <c:v>0.793319223640301</c:v>
                </c:pt>
                <c:pt idx="13">
                  <c:v>0.828438535949616</c:v>
                </c:pt>
                <c:pt idx="14">
                  <c:v>0.85795164162232</c:v>
                </c:pt>
                <c:pt idx="15">
                  <c:v>0.882630331147932</c:v>
                </c:pt>
                <c:pt idx="16">
                  <c:v>0.903184345243872</c:v>
                </c:pt>
                <c:pt idx="17">
                  <c:v>0.920248190579841</c:v>
                </c:pt>
                <c:pt idx="18">
                  <c:v>0.934377843246983</c:v>
                </c:pt>
                <c:pt idx="19">
                  <c:v>0.946053327005152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4662408"/>
        <c:axId val="-2094659432"/>
      </c:lineChart>
      <c:catAx>
        <c:axId val="-209466240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4659432"/>
        <c:crosses val="autoZero"/>
        <c:auto val="1"/>
        <c:lblAlgn val="ctr"/>
        <c:lblOffset val="100"/>
        <c:noMultiLvlLbl val="0"/>
      </c:catAx>
      <c:valAx>
        <c:axId val="-2094659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46624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Allocation!$G$6:$Z$6</c:f>
              <c:numCache>
                <c:formatCode>General</c:formatCode>
                <c:ptCount val="20"/>
                <c:pt idx="0">
                  <c:v>0.182425523806356</c:v>
                </c:pt>
                <c:pt idx="1">
                  <c:v>0.268941421369995</c:v>
                </c:pt>
                <c:pt idx="2">
                  <c:v>0.377540668798145</c:v>
                </c:pt>
                <c:pt idx="3">
                  <c:v>0.5</c:v>
                </c:pt>
                <c:pt idx="4">
                  <c:v>0.622459331201854</c:v>
                </c:pt>
                <c:pt idx="5">
                  <c:v>0.731058578630005</c:v>
                </c:pt>
                <c:pt idx="6">
                  <c:v>0.817574476193644</c:v>
                </c:pt>
                <c:pt idx="7">
                  <c:v>0.880797077977882</c:v>
                </c:pt>
                <c:pt idx="8">
                  <c:v>0.924141819978757</c:v>
                </c:pt>
                <c:pt idx="9">
                  <c:v>0.952574126822433</c:v>
                </c:pt>
                <c:pt idx="10">
                  <c:v>0.970687769248644</c:v>
                </c:pt>
                <c:pt idx="11">
                  <c:v>0.982013790037908</c:v>
                </c:pt>
                <c:pt idx="12">
                  <c:v>0.989013057369407</c:v>
                </c:pt>
                <c:pt idx="13">
                  <c:v>0.993307149075715</c:v>
                </c:pt>
                <c:pt idx="14">
                  <c:v>0.995929862284104</c:v>
                </c:pt>
                <c:pt idx="15">
                  <c:v>0.997527376843365</c:v>
                </c:pt>
                <c:pt idx="16">
                  <c:v>0.998498817743263</c:v>
                </c:pt>
                <c:pt idx="17">
                  <c:v>0.999088948805599</c:v>
                </c:pt>
                <c:pt idx="18">
                  <c:v>0.999447221363076</c:v>
                </c:pt>
                <c:pt idx="19">
                  <c:v>0.999664649869534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Allocation!$G$7:$Z$7</c:f>
              <c:numCache>
                <c:formatCode>General</c:formatCode>
                <c:ptCount val="20"/>
                <c:pt idx="0">
                  <c:v>0.152608664842631</c:v>
                </c:pt>
                <c:pt idx="1">
                  <c:v>0.193321369802309</c:v>
                </c:pt>
                <c:pt idx="2">
                  <c:v>0.24179617240741</c:v>
                </c:pt>
                <c:pt idx="3">
                  <c:v>0.29793663012107</c:v>
                </c:pt>
                <c:pt idx="4">
                  <c:v>0.360907254837149</c:v>
                </c:pt>
                <c:pt idx="5">
                  <c:v>0.429053403116534</c:v>
                </c:pt>
                <c:pt idx="6">
                  <c:v>0.5</c:v>
                </c:pt>
                <c:pt idx="7">
                  <c:v>0.570946596883466</c:v>
                </c:pt>
                <c:pt idx="8">
                  <c:v>0.639092745162851</c:v>
                </c:pt>
                <c:pt idx="9">
                  <c:v>0.70206336987893</c:v>
                </c:pt>
                <c:pt idx="10">
                  <c:v>0.75820382759259</c:v>
                </c:pt>
                <c:pt idx="11">
                  <c:v>0.806678630197691</c:v>
                </c:pt>
                <c:pt idx="12">
                  <c:v>0.847391335157369</c:v>
                </c:pt>
                <c:pt idx="13">
                  <c:v>0.880797077977882</c:v>
                </c:pt>
                <c:pt idx="14">
                  <c:v>0.907686971247702</c:v>
                </c:pt>
                <c:pt idx="15">
                  <c:v>0.928999980849201</c:v>
                </c:pt>
                <c:pt idx="16">
                  <c:v>0.945686733867359</c:v>
                </c:pt>
                <c:pt idx="17">
                  <c:v>0.958626348939925</c:v>
                </c:pt>
                <c:pt idx="18">
                  <c:v>0.96858562896843</c:v>
                </c:pt>
                <c:pt idx="19">
                  <c:v>0.976207057601835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4603672"/>
        <c:axId val="-2094600696"/>
      </c:lineChart>
      <c:catAx>
        <c:axId val="-209460367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4600696"/>
        <c:crosses val="autoZero"/>
        <c:auto val="1"/>
        <c:lblAlgn val="ctr"/>
        <c:lblOffset val="100"/>
        <c:noMultiLvlLbl val="0"/>
      </c:catAx>
      <c:valAx>
        <c:axId val="-2094600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4603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SingleFleet!$E$27</c:f>
              <c:strCache>
                <c:ptCount val="1"/>
                <c:pt idx="0">
                  <c:v>ye</c:v>
                </c:pt>
              </c:strCache>
            </c:strRef>
          </c:tx>
          <c:xVal>
            <c:numRef>
              <c:f>SingleFleet!$D$28:$D$63</c:f>
              <c:numCache>
                <c:formatCode>General</c:formatCode>
                <c:ptCount val="36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</c:numCache>
            </c:numRef>
          </c:xVal>
          <c:yVal>
            <c:numRef>
              <c:f>SingleFleet!$E$28:$E$63</c:f>
              <c:numCache>
                <c:formatCode>General</c:formatCode>
                <c:ptCount val="36"/>
                <c:pt idx="0">
                  <c:v>0.0</c:v>
                </c:pt>
                <c:pt idx="1">
                  <c:v>84.6733186391163</c:v>
                </c:pt>
                <c:pt idx="2">
                  <c:v>145.486691835346</c:v>
                </c:pt>
                <c:pt idx="3">
                  <c:v>189.8141998668783</c:v>
                </c:pt>
                <c:pt idx="4">
                  <c:v>222.4964479982027</c:v>
                </c:pt>
                <c:pt idx="5">
                  <c:v>246.7998562069268</c:v>
                </c:pt>
                <c:pt idx="6">
                  <c:v>264.9800794387135</c:v>
                </c:pt>
                <c:pt idx="7">
                  <c:v>278.6257329618472</c:v>
                </c:pt>
                <c:pt idx="8">
                  <c:v>288.8748251909676</c:v>
                </c:pt>
                <c:pt idx="9">
                  <c:v>296.554741949003</c:v>
                </c:pt>
                <c:pt idx="10">
                  <c:v>302.2749033095533</c:v>
                </c:pt>
                <c:pt idx="11">
                  <c:v>306.4893481407571</c:v>
                </c:pt>
                <c:pt idx="12">
                  <c:v>309.5397722585543</c:v>
                </c:pt>
                <c:pt idx="13">
                  <c:v>311.6856052438602</c:v>
                </c:pt>
                <c:pt idx="14">
                  <c:v>313.1253378321206</c:v>
                </c:pt>
                <c:pt idx="15">
                  <c:v>314.011847372863</c:v>
                </c:pt>
                <c:pt idx="16">
                  <c:v>314.4635454718704</c:v>
                </c:pt>
                <c:pt idx="17">
                  <c:v>314.5725783444104</c:v>
                </c:pt>
                <c:pt idx="18">
                  <c:v>314.4109221386668</c:v>
                </c:pt>
                <c:pt idx="19">
                  <c:v>314.0349574752166</c:v>
                </c:pt>
                <c:pt idx="20">
                  <c:v>313.4889334988941</c:v>
                </c:pt>
                <c:pt idx="21">
                  <c:v>312.807612896142</c:v>
                </c:pt>
                <c:pt idx="22">
                  <c:v>312.0183071329442</c:v>
                </c:pt>
                <c:pt idx="23">
                  <c:v>311.142453663556</c:v>
                </c:pt>
                <c:pt idx="24">
                  <c:v>310.1968461999238</c:v>
                </c:pt>
                <c:pt idx="25">
                  <c:v>309.1946000938198</c:v>
                </c:pt>
                <c:pt idx="26">
                  <c:v>308.1459139509634</c:v>
                </c:pt>
                <c:pt idx="27">
                  <c:v>307.0586733725718</c:v>
                </c:pt>
                <c:pt idx="28">
                  <c:v>305.9389315549321</c:v>
                </c:pt>
                <c:pt idx="29">
                  <c:v>304.7912932241134</c:v>
                </c:pt>
                <c:pt idx="30">
                  <c:v>303.6192222352232</c:v>
                </c:pt>
                <c:pt idx="31">
                  <c:v>302.4252885529195</c:v>
                </c:pt>
                <c:pt idx="32">
                  <c:v>301.2113668446319</c:v>
                </c:pt>
                <c:pt idx="33">
                  <c:v>299.9787962666496</c:v>
                </c:pt>
                <c:pt idx="34">
                  <c:v>298.7285089930171</c:v>
                </c:pt>
                <c:pt idx="35">
                  <c:v>297.4611334725772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4553160"/>
        <c:axId val="-2094550168"/>
      </c:scatterChart>
      <c:scatterChart>
        <c:scatterStyle val="smoothMarker"/>
        <c:varyColors val="0"/>
        <c:ser>
          <c:idx val="1"/>
          <c:order val="1"/>
          <c:tx>
            <c:strRef>
              <c:f>SingleFleet!$F$27</c:f>
              <c:strCache>
                <c:ptCount val="1"/>
                <c:pt idx="0">
                  <c:v>dye</c:v>
                </c:pt>
              </c:strCache>
            </c:strRef>
          </c:tx>
          <c:xVal>
            <c:numRef>
              <c:f>SingleFleet!$D$28:$D$63</c:f>
              <c:numCache>
                <c:formatCode>General</c:formatCode>
                <c:ptCount val="36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</c:numCache>
            </c:numRef>
          </c:xVal>
          <c:yVal>
            <c:numRef>
              <c:f>SingleFleet!$F$28:$F$63</c:f>
              <c:numCache>
                <c:formatCode>General</c:formatCode>
                <c:ptCount val="36"/>
                <c:pt idx="0">
                  <c:v>3999.904904533837</c:v>
                </c:pt>
                <c:pt idx="1">
                  <c:v>2849.832914761706</c:v>
                </c:pt>
                <c:pt idx="2">
                  <c:v>2064.477939139211</c:v>
                </c:pt>
                <c:pt idx="3">
                  <c:v>1515.092612013886</c:v>
                </c:pt>
                <c:pt idx="4">
                  <c:v>1123.033114601484</c:v>
                </c:pt>
                <c:pt idx="5">
                  <c:v>838.513406116324</c:v>
                </c:pt>
                <c:pt idx="6">
                  <c:v>629.0696712154138</c:v>
                </c:pt>
                <c:pt idx="7">
                  <c:v>472.9971546996811</c:v>
                </c:pt>
                <c:pt idx="8">
                  <c:v>355.4686025649578</c:v>
                </c:pt>
                <c:pt idx="9">
                  <c:v>266.1626795278916</c:v>
                </c:pt>
                <c:pt idx="10">
                  <c:v>197.7741408259002</c:v>
                </c:pt>
                <c:pt idx="11">
                  <c:v>145.055138977368</c:v>
                </c:pt>
                <c:pt idx="12">
                  <c:v>104.1851556287181</c:v>
                </c:pt>
                <c:pt idx="13">
                  <c:v>72.34907829274405</c:v>
                </c:pt>
                <c:pt idx="14">
                  <c:v>47.44986858925816</c:v>
                </c:pt>
                <c:pt idx="15">
                  <c:v>27.90988376186176</c:v>
                </c:pt>
                <c:pt idx="16">
                  <c:v>12.53157348863516</c:v>
                </c:pt>
                <c:pt idx="17">
                  <c:v>0.398549692445243</c:v>
                </c:pt>
                <c:pt idx="18">
                  <c:v>-9.195508461303163</c:v>
                </c:pt>
                <c:pt idx="19">
                  <c:v>-16.79851205402676</c:v>
                </c:pt>
                <c:pt idx="20">
                  <c:v>-22.83788510500034</c:v>
                </c:pt>
                <c:pt idx="21">
                  <c:v>-27.64867464334061</c:v>
                </c:pt>
                <c:pt idx="22">
                  <c:v>-31.49457773124887</c:v>
                </c:pt>
                <c:pt idx="23">
                  <c:v>-34.58380600527994</c:v>
                </c:pt>
                <c:pt idx="24">
                  <c:v>-37.08115301516085</c:v>
                </c:pt>
                <c:pt idx="25">
                  <c:v>-39.11724429078185</c:v>
                </c:pt>
                <c:pt idx="26">
                  <c:v>-40.7956798893991</c:v>
                </c:pt>
                <c:pt idx="27">
                  <c:v>-42.198587912196</c:v>
                </c:pt>
                <c:pt idx="28">
                  <c:v>-43.39097085017242</c:v>
                </c:pt>
                <c:pt idx="29">
                  <c:v>-44.42412818114092</c:v>
                </c:pt>
                <c:pt idx="30">
                  <c:v>-45.33836714253585</c:v>
                </c:pt>
                <c:pt idx="31">
                  <c:v>-46.16516127665454</c:v>
                </c:pt>
                <c:pt idx="32">
                  <c:v>-46.92887776675444</c:v>
                </c:pt>
                <c:pt idx="33">
                  <c:v>-47.6481659429586</c:v>
                </c:pt>
                <c:pt idx="34">
                  <c:v>-48.33707793362102</c:v>
                </c:pt>
                <c:pt idx="35">
                  <c:v>-49.00597633950062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4543832"/>
        <c:axId val="-2094547128"/>
      </c:scatterChart>
      <c:valAx>
        <c:axId val="-2094553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94550168"/>
        <c:crosses val="autoZero"/>
        <c:crossBetween val="midCat"/>
      </c:valAx>
      <c:valAx>
        <c:axId val="-2094550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4553160"/>
        <c:crosses val="autoZero"/>
        <c:crossBetween val="midCat"/>
      </c:valAx>
      <c:valAx>
        <c:axId val="-2094547128"/>
        <c:scaling>
          <c:orientation val="minMax"/>
          <c:max val="50.0"/>
          <c:min val="-50.0"/>
        </c:scaling>
        <c:delete val="0"/>
        <c:axPos val="r"/>
        <c:numFmt formatCode="General" sourceLinked="1"/>
        <c:majorTickMark val="out"/>
        <c:minorTickMark val="none"/>
        <c:tickLblPos val="nextTo"/>
        <c:crossAx val="-2094543832"/>
        <c:crosses val="max"/>
        <c:crossBetween val="midCat"/>
      </c:valAx>
      <c:valAx>
        <c:axId val="-20945438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0945471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FlakLake!$B$26</c:f>
              <c:strCache>
                <c:ptCount val="1"/>
                <c:pt idx="0">
                  <c:v>ye</c:v>
                </c:pt>
              </c:strCache>
            </c:strRef>
          </c:tx>
          <c:xVal>
            <c:numRef>
              <c:f>FlakLake!$A$27:$A$62</c:f>
              <c:numCache>
                <c:formatCode>General</c:formatCode>
                <c:ptCount val="36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</c:numCache>
            </c:numRef>
          </c:xVal>
          <c:yVal>
            <c:numRef>
              <c:f>FlakLake!$B$27:$B$62</c:f>
              <c:numCache>
                <c:formatCode>General</c:formatCode>
                <c:ptCount val="36"/>
                <c:pt idx="0">
                  <c:v>1647.712086001402</c:v>
                </c:pt>
                <c:pt idx="1">
                  <c:v>430.1527454919306</c:v>
                </c:pt>
                <c:pt idx="2">
                  <c:v>755.6449057978981</c:v>
                </c:pt>
                <c:pt idx="3">
                  <c:v>1005.719414712784</c:v>
                </c:pt>
                <c:pt idx="4">
                  <c:v>1200.217201000512</c:v>
                </c:pt>
                <c:pt idx="5">
                  <c:v>1353.000668268764</c:v>
                </c:pt>
                <c:pt idx="6">
                  <c:v>1473.991432747179</c:v>
                </c:pt>
                <c:pt idx="7">
                  <c:v>1570.434758494697</c:v>
                </c:pt>
                <c:pt idx="8">
                  <c:v>1647.712086001402</c:v>
                </c:pt>
                <c:pt idx="9">
                  <c:v>1709.87892271332</c:v>
                </c:pt>
                <c:pt idx="10">
                  <c:v>1760.030117717636</c:v>
                </c:pt>
                <c:pt idx="11">
                  <c:v>1800.553436739018</c:v>
                </c:pt>
                <c:pt idx="12">
                  <c:v>1833.308996525573</c:v>
                </c:pt>
                <c:pt idx="13">
                  <c:v>1859.75837969633</c:v>
                </c:pt>
                <c:pt idx="14">
                  <c:v>1881.058920240429</c:v>
                </c:pt>
                <c:pt idx="15">
                  <c:v>1898.133458663831</c:v>
                </c:pt>
                <c:pt idx="16">
                  <c:v>1911.7225513061</c:v>
                </c:pt>
                <c:pt idx="17">
                  <c:v>1922.423955312903</c:v>
                </c:pt>
                <c:pt idx="18">
                  <c:v>1930.722771013725</c:v>
                </c:pt>
                <c:pt idx="19">
                  <c:v>1937.014647899953</c:v>
                </c:pt>
                <c:pt idx="20">
                  <c:v>1941.623788591856</c:v>
                </c:pt>
                <c:pt idx="21">
                  <c:v>1944.817015702902</c:v>
                </c:pt>
                <c:pt idx="22">
                  <c:v>1946.814834005367</c:v>
                </c:pt>
                <c:pt idx="23">
                  <c:v>1947.800181918568</c:v>
                </c:pt>
                <c:pt idx="24">
                  <c:v>1947.925393521175</c:v>
                </c:pt>
                <c:pt idx="25">
                  <c:v>1947.317765713498</c:v>
                </c:pt>
                <c:pt idx="26">
                  <c:v>1946.084031576177</c:v>
                </c:pt>
                <c:pt idx="27">
                  <c:v>1944.313971185888</c:v>
                </c:pt>
                <c:pt idx="28">
                  <c:v>1942.083338690089</c:v>
                </c:pt>
                <c:pt idx="29">
                  <c:v>1939.456244716237</c:v>
                </c:pt>
                <c:pt idx="30">
                  <c:v>1936.48710289924</c:v>
                </c:pt>
                <c:pt idx="31">
                  <c:v>1933.222226064908</c:v>
                </c:pt>
                <c:pt idx="32">
                  <c:v>1929.701139661455</c:v>
                </c:pt>
                <c:pt idx="33">
                  <c:v>1925.957666099144</c:v>
                </c:pt>
                <c:pt idx="34">
                  <c:v>1922.020822785441</c:v>
                </c:pt>
                <c:pt idx="35">
                  <c:v>1917.915568115562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4491704"/>
        <c:axId val="-2094488712"/>
      </c:scatterChart>
      <c:scatterChart>
        <c:scatterStyle val="smoothMarker"/>
        <c:varyColors val="0"/>
        <c:ser>
          <c:idx val="1"/>
          <c:order val="1"/>
          <c:tx>
            <c:strRef>
              <c:f>FlakLake!$C$26</c:f>
              <c:strCache>
                <c:ptCount val="1"/>
                <c:pt idx="0">
                  <c:v>dye</c:v>
                </c:pt>
              </c:strCache>
            </c:strRef>
          </c:tx>
          <c:xVal>
            <c:numRef>
              <c:f>FlakLake!$A$27:$A$62</c:f>
              <c:numCache>
                <c:formatCode>General</c:formatCode>
                <c:ptCount val="36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</c:numCache>
            </c:numRef>
          </c:xVal>
          <c:yVal>
            <c:numRef>
              <c:f>FlakLake!$C$27:$C$62</c:f>
              <c:numCache>
                <c:formatCode>General</c:formatCode>
                <c:ptCount val="36"/>
                <c:pt idx="0">
                  <c:v>2765.44805328791</c:v>
                </c:pt>
                <c:pt idx="1">
                  <c:v>14876.97136310717</c:v>
                </c:pt>
                <c:pt idx="2">
                  <c:v>11353.54998045857</c:v>
                </c:pt>
                <c:pt idx="3">
                  <c:v>8782.508138959247</c:v>
                </c:pt>
                <c:pt idx="4">
                  <c:v>6868.426012660488</c:v>
                </c:pt>
                <c:pt idx="5">
                  <c:v>5419.581060289971</c:v>
                </c:pt>
                <c:pt idx="6">
                  <c:v>4307.456068673073</c:v>
                </c:pt>
                <c:pt idx="7">
                  <c:v>3443.536888062385</c:v>
                </c:pt>
                <c:pt idx="8">
                  <c:v>2765.44805328791</c:v>
                </c:pt>
                <c:pt idx="9">
                  <c:v>2228.365595463754</c:v>
                </c:pt>
                <c:pt idx="10">
                  <c:v>1799.531008078165</c:v>
                </c:pt>
                <c:pt idx="11">
                  <c:v>1454.650643473861</c:v>
                </c:pt>
                <c:pt idx="12">
                  <c:v>1175.476119084357</c:v>
                </c:pt>
                <c:pt idx="13">
                  <c:v>948.1442387894994</c:v>
                </c:pt>
                <c:pt idx="14">
                  <c:v>762.0169167334993</c:v>
                </c:pt>
                <c:pt idx="15">
                  <c:v>608.8571910599461</c:v>
                </c:pt>
                <c:pt idx="16">
                  <c:v>482.2353975426558</c:v>
                </c:pt>
                <c:pt idx="17">
                  <c:v>377.0956166136249</c:v>
                </c:pt>
                <c:pt idx="18">
                  <c:v>289.4354184388023</c:v>
                </c:pt>
                <c:pt idx="19">
                  <c:v>216.066792697684</c:v>
                </c:pt>
                <c:pt idx="20">
                  <c:v>154.4359703828309</c:v>
                </c:pt>
                <c:pt idx="21">
                  <c:v>102.4864449116176</c:v>
                </c:pt>
                <c:pt idx="22">
                  <c:v>58.55400447716795</c:v>
                </c:pt>
                <c:pt idx="23">
                  <c:v>21.28570596301654</c:v>
                </c:pt>
                <c:pt idx="24">
                  <c:v>-10.42309223658572</c:v>
                </c:pt>
                <c:pt idx="25">
                  <c:v>-37.47796888678693</c:v>
                </c:pt>
                <c:pt idx="26">
                  <c:v>-60.624166539449</c:v>
                </c:pt>
                <c:pt idx="27">
                  <c:v>-80.47721505641015</c:v>
                </c:pt>
                <c:pt idx="28">
                  <c:v>-97.54727004588403</c:v>
                </c:pt>
                <c:pt idx="29">
                  <c:v>-112.2585480439328</c:v>
                </c:pt>
                <c:pt idx="30">
                  <c:v>-124.9649157021548</c:v>
                </c:pt>
                <c:pt idx="31">
                  <c:v>-135.962446911159</c:v>
                </c:pt>
                <c:pt idx="32">
                  <c:v>-145.4995780855839</c:v>
                </c:pt>
                <c:pt idx="33">
                  <c:v>-153.7853522422499</c:v>
                </c:pt>
                <c:pt idx="34">
                  <c:v>-160.9961357775752</c:v>
                </c:pt>
                <c:pt idx="35">
                  <c:v>-167.2811097858927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4482376"/>
        <c:axId val="-2094485672"/>
      </c:scatterChart>
      <c:valAx>
        <c:axId val="-2094491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94488712"/>
        <c:crosses val="autoZero"/>
        <c:crossBetween val="midCat"/>
      </c:valAx>
      <c:valAx>
        <c:axId val="-2094488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4491704"/>
        <c:crosses val="autoZero"/>
        <c:crossBetween val="midCat"/>
      </c:valAx>
      <c:valAx>
        <c:axId val="-2094485672"/>
        <c:scaling>
          <c:orientation val="minMax"/>
          <c:max val="100.0"/>
          <c:min val="-100.0"/>
        </c:scaling>
        <c:delete val="0"/>
        <c:axPos val="r"/>
        <c:numFmt formatCode="General" sourceLinked="1"/>
        <c:majorTickMark val="out"/>
        <c:minorTickMark val="none"/>
        <c:tickLblPos val="nextTo"/>
        <c:crossAx val="-2094482376"/>
        <c:crosses val="max"/>
        <c:crossBetween val="midCat"/>
      </c:valAx>
      <c:valAx>
        <c:axId val="-20944823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0944856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177800</xdr:colOff>
      <xdr:row>29</xdr:row>
      <xdr:rowOff>44450</xdr:rowOff>
    </xdr:from>
    <xdr:to>
      <xdr:col>18</xdr:col>
      <xdr:colOff>279400</xdr:colOff>
      <xdr:row>43</xdr:row>
      <xdr:rowOff>120650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177800</xdr:colOff>
      <xdr:row>29</xdr:row>
      <xdr:rowOff>44450</xdr:rowOff>
    </xdr:from>
    <xdr:to>
      <xdr:col>18</xdr:col>
      <xdr:colOff>279400</xdr:colOff>
      <xdr:row>43</xdr:row>
      <xdr:rowOff>120650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177800</xdr:colOff>
      <xdr:row>29</xdr:row>
      <xdr:rowOff>44450</xdr:rowOff>
    </xdr:from>
    <xdr:to>
      <xdr:col>18</xdr:col>
      <xdr:colOff>279400</xdr:colOff>
      <xdr:row>43</xdr:row>
      <xdr:rowOff>120650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279400</xdr:colOff>
      <xdr:row>25</xdr:row>
      <xdr:rowOff>0</xdr:rowOff>
    </xdr:from>
    <xdr:to>
      <xdr:col>17</xdr:col>
      <xdr:colOff>38100</xdr:colOff>
      <xdr:row>61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721360</xdr:colOff>
      <xdr:row>3</xdr:row>
      <xdr:rowOff>0</xdr:rowOff>
    </xdr:from>
    <xdr:to>
      <xdr:col>20</xdr:col>
      <xdr:colOff>101600</xdr:colOff>
      <xdr:row>23</xdr:row>
      <xdr:rowOff>147320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N12"/>
  <sheetViews>
    <sheetView workbookViewId="0">
      <selection activeCell="I3" sqref="I3"/>
    </sheetView>
  </sheetViews>
  <sheetFormatPr baseColWidth="10" defaultRowHeight="15" x14ac:dyDescent="0"/>
  <cols>
    <col min="8" max="8" width="12.83203125" bestFit="1" customWidth="1"/>
    <col min="13" max="13" width="12.1640625" bestFit="1" customWidth="1"/>
  </cols>
  <sheetData>
    <row r="1" spans="1:14">
      <c r="A1" t="s">
        <v>0</v>
      </c>
      <c r="B1">
        <v>100</v>
      </c>
      <c r="F1" t="s">
        <v>8</v>
      </c>
      <c r="G1" t="s">
        <v>7</v>
      </c>
      <c r="H1" t="s">
        <v>12</v>
      </c>
      <c r="I1" t="s">
        <v>9</v>
      </c>
      <c r="K1" t="s">
        <v>10</v>
      </c>
      <c r="M1" t="s">
        <v>11</v>
      </c>
      <c r="N1" t="s">
        <v>13</v>
      </c>
    </row>
    <row r="2" spans="1:14">
      <c r="A2" t="s">
        <v>1</v>
      </c>
      <c r="B2">
        <v>0.2</v>
      </c>
      <c r="F2">
        <v>0.30000000007260225</v>
      </c>
      <c r="G2" s="1">
        <v>22.5594182</v>
      </c>
      <c r="H2">
        <f>G2-B*F2*(1-EXP(-M-F2-F3))/(M+F2+F3)</f>
        <v>0</v>
      </c>
      <c r="I2">
        <f>-B*(1-EXP(-M-F2-F3))/(M+F2+F3)-B*F2*EXP(-M-F2-F3)/(M+F2+F3)+B*F2*(1-EXP(-M-F2-F3))/(M+F2+F3)^2</f>
        <v>-65.039612125692543</v>
      </c>
      <c r="J2">
        <f>-B*F2*EXP(-M-F2-F3)/(M+F2+F3)+B*F2*(1-EXP(-M-F2-F3))/(M+F2+F3)^2</f>
        <v>10.15844852277565</v>
      </c>
      <c r="K2">
        <f t="array" ref="K2:L3">-MINVERSE(I2:J3)</f>
        <v>1.5489320701301899E-2</v>
      </c>
      <c r="L2">
        <v>2.1911054098897233E-3</v>
      </c>
      <c r="M2">
        <f>K6</f>
        <v>0</v>
      </c>
      <c r="N2">
        <f>F2+M2</f>
        <v>0.30000000007260225</v>
      </c>
    </row>
    <row r="3" spans="1:14">
      <c r="A3" t="s">
        <v>2</v>
      </c>
      <c r="B3">
        <v>0.3</v>
      </c>
      <c r="F3">
        <v>0.10000000000203703</v>
      </c>
      <c r="G3" s="1">
        <v>7.519806065</v>
      </c>
      <c r="H3">
        <f>G3-B*F3*(1-EXP(-M-F2-F3))/(M+F2+F3)</f>
        <v>0</v>
      </c>
      <c r="I3">
        <f>-B*F3*EXP(-M-F2-F3)/(M+F2+F3)+B*F3*(1-EXP(-M-F2-F3))/(M+F2+F3)^2</f>
        <v>3.386149506841388</v>
      </c>
      <c r="J3">
        <f>-B*(1-EXP(-M-F2-F3))/(M+F2+F3)-B*F3*EXP(-M-F2-F3)/(M+F2+F3)+B*F3*(1-EXP(-M-F2-F3))/(M+F2+F3)^2</f>
        <v>-71.811911141626808</v>
      </c>
      <c r="K3">
        <v>7.3036846980136449E-4</v>
      </c>
      <c r="L3">
        <v>1.4028583761213541E-2</v>
      </c>
      <c r="M3">
        <f>L6</f>
        <v>0</v>
      </c>
      <c r="N3">
        <f>F3+M3</f>
        <v>0.10000000000203703</v>
      </c>
    </row>
    <row r="4" spans="1:14">
      <c r="A4" t="s">
        <v>3</v>
      </c>
      <c r="B4">
        <v>0.1</v>
      </c>
    </row>
    <row r="5" spans="1:14">
      <c r="A5" t="s">
        <v>4</v>
      </c>
      <c r="B5">
        <f>M+f_1+f_2</f>
        <v>0.6</v>
      </c>
      <c r="J5" t="s">
        <v>12</v>
      </c>
      <c r="K5">
        <f>H2</f>
        <v>0</v>
      </c>
      <c r="L5">
        <f>H3</f>
        <v>0</v>
      </c>
    </row>
    <row r="6" spans="1:14">
      <c r="J6" t="s">
        <v>11</v>
      </c>
      <c r="K6">
        <f t="array" ref="K6:L6">MMULT(K5:L5,K2:L3)</f>
        <v>0</v>
      </c>
      <c r="L6">
        <v>0</v>
      </c>
    </row>
    <row r="7" spans="1:14">
      <c r="A7" t="s">
        <v>5</v>
      </c>
      <c r="B7">
        <f>B*f_1*(1-EXP(-Z))/Z</f>
        <v>22.559418195298679</v>
      </c>
    </row>
    <row r="8" spans="1:14">
      <c r="A8" t="s">
        <v>6</v>
      </c>
      <c r="B8">
        <f>B*f_2*(1-EXP(-Z))/Z</f>
        <v>7.5198060650995604</v>
      </c>
    </row>
    <row r="11" spans="1:14">
      <c r="I11" t="s">
        <v>14</v>
      </c>
    </row>
    <row r="12" spans="1:14">
      <c r="I12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Z56"/>
  <sheetViews>
    <sheetView topLeftCell="A9" workbookViewId="0">
      <pane xSplit="6" topLeftCell="G1" activePane="topRight" state="frozen"/>
      <selection activeCell="A13" sqref="A13"/>
      <selection pane="topRight" activeCell="B41" sqref="B41"/>
    </sheetView>
  </sheetViews>
  <sheetFormatPr baseColWidth="10" defaultRowHeight="15" x14ac:dyDescent="0"/>
  <cols>
    <col min="7" max="7" width="12.1640625" customWidth="1"/>
    <col min="8" max="8" width="7.1640625" customWidth="1"/>
    <col min="9" max="23" width="7.33203125" customWidth="1"/>
    <col min="24" max="24" width="6.83203125" customWidth="1"/>
    <col min="25" max="25" width="12.5" customWidth="1"/>
    <col min="26" max="26" width="10.6640625" customWidth="1"/>
  </cols>
  <sheetData>
    <row r="1" spans="1:26">
      <c r="A1" t="s">
        <v>15</v>
      </c>
      <c r="B1">
        <v>1</v>
      </c>
      <c r="F1" t="s">
        <v>19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</row>
    <row r="2" spans="1:26">
      <c r="A2" t="s">
        <v>16</v>
      </c>
      <c r="B2">
        <v>0.75</v>
      </c>
      <c r="F2" t="s">
        <v>20</v>
      </c>
      <c r="G2">
        <f t="shared" ref="G2:Z2" si="0">(1-EXP(-vbk*G1))^3</f>
        <v>5.956242778945897E-3</v>
      </c>
      <c r="H2">
        <f t="shared" si="0"/>
        <v>3.5832542332544771E-2</v>
      </c>
      <c r="I2">
        <f t="shared" si="0"/>
        <v>9.1848839232940488E-2</v>
      </c>
      <c r="J2">
        <f t="shared" si="0"/>
        <v>0.16698470834288895</v>
      </c>
      <c r="K2">
        <f t="shared" si="0"/>
        <v>0.25258045782764715</v>
      </c>
      <c r="L2">
        <f t="shared" si="0"/>
        <v>0.34124750168433882</v>
      </c>
      <c r="M2">
        <f t="shared" si="0"/>
        <v>0.42764371923035677</v>
      </c>
      <c r="N2">
        <f t="shared" si="0"/>
        <v>0.50836731090211251</v>
      </c>
      <c r="O2">
        <f t="shared" si="0"/>
        <v>0.58155792173450538</v>
      </c>
      <c r="P2">
        <f t="shared" si="0"/>
        <v>0.64646231477969807</v>
      </c>
      <c r="Q2">
        <f t="shared" si="0"/>
        <v>0.70306217658465575</v>
      </c>
      <c r="R2">
        <f t="shared" si="0"/>
        <v>0.75178879547044597</v>
      </c>
      <c r="S2">
        <f t="shared" si="0"/>
        <v>0.79331922364030083</v>
      </c>
      <c r="T2">
        <f t="shared" si="0"/>
        <v>0.82843853594961614</v>
      </c>
      <c r="U2">
        <f t="shared" si="0"/>
        <v>0.85795164162232052</v>
      </c>
      <c r="V2">
        <f t="shared" si="0"/>
        <v>0.88263033114793243</v>
      </c>
      <c r="W2">
        <f t="shared" si="0"/>
        <v>0.90318434524387203</v>
      </c>
      <c r="X2">
        <f t="shared" si="0"/>
        <v>0.92024819057984131</v>
      </c>
      <c r="Y2">
        <f t="shared" si="0"/>
        <v>0.93437784324698259</v>
      </c>
      <c r="Z2">
        <f t="shared" si="0"/>
        <v>0.94605332700515155</v>
      </c>
    </row>
    <row r="3" spans="1:26">
      <c r="A3" t="s">
        <v>17</v>
      </c>
      <c r="B3">
        <f>1.5*vbk</f>
        <v>0.30000000000000004</v>
      </c>
      <c r="F3" t="s">
        <v>21</v>
      </c>
      <c r="G3">
        <f>IF(G2&gt;0.2,G2,0)</f>
        <v>0</v>
      </c>
      <c r="H3">
        <f t="shared" ref="H3:Z3" si="1">IF(H2&gt;0.2,H2,0)</f>
        <v>0</v>
      </c>
      <c r="I3">
        <f t="shared" si="1"/>
        <v>0</v>
      </c>
      <c r="J3">
        <f t="shared" si="1"/>
        <v>0</v>
      </c>
      <c r="K3">
        <f t="shared" si="1"/>
        <v>0.25258045782764715</v>
      </c>
      <c r="L3">
        <f t="shared" si="1"/>
        <v>0.34124750168433882</v>
      </c>
      <c r="M3">
        <f t="shared" si="1"/>
        <v>0.42764371923035677</v>
      </c>
      <c r="N3">
        <f t="shared" si="1"/>
        <v>0.50836731090211251</v>
      </c>
      <c r="O3">
        <f t="shared" si="1"/>
        <v>0.58155792173450538</v>
      </c>
      <c r="P3">
        <f t="shared" si="1"/>
        <v>0.64646231477969807</v>
      </c>
      <c r="Q3">
        <f t="shared" si="1"/>
        <v>0.70306217658465575</v>
      </c>
      <c r="R3">
        <f t="shared" si="1"/>
        <v>0.75178879547044597</v>
      </c>
      <c r="S3">
        <f t="shared" si="1"/>
        <v>0.79331922364030083</v>
      </c>
      <c r="T3">
        <f t="shared" si="1"/>
        <v>0.82843853594961614</v>
      </c>
      <c r="U3">
        <f t="shared" si="1"/>
        <v>0.85795164162232052</v>
      </c>
      <c r="V3">
        <f t="shared" si="1"/>
        <v>0.88263033114793243</v>
      </c>
      <c r="W3">
        <f t="shared" si="1"/>
        <v>0.90318434524387203</v>
      </c>
      <c r="X3">
        <f t="shared" si="1"/>
        <v>0.92024819057984131</v>
      </c>
      <c r="Y3">
        <f t="shared" si="1"/>
        <v>0.93437784324698259</v>
      </c>
      <c r="Z3">
        <f t="shared" si="1"/>
        <v>0.94605332700515155</v>
      </c>
    </row>
    <row r="4" spans="1:26">
      <c r="A4" t="s">
        <v>18</v>
      </c>
      <c r="B4">
        <v>0.2</v>
      </c>
      <c r="F4" t="s">
        <v>22</v>
      </c>
      <c r="G4">
        <f t="shared" ref="G4:Y4" si="2">EXP(-m)^(G1-1)</f>
        <v>1</v>
      </c>
      <c r="H4">
        <f t="shared" si="2"/>
        <v>0.74081822068171788</v>
      </c>
      <c r="I4">
        <f t="shared" si="2"/>
        <v>0.5488116360940265</v>
      </c>
      <c r="J4">
        <f t="shared" si="2"/>
        <v>0.40656965974059917</v>
      </c>
      <c r="K4">
        <f t="shared" si="2"/>
        <v>0.30119421191220219</v>
      </c>
      <c r="L4">
        <f t="shared" si="2"/>
        <v>0.2231301601484299</v>
      </c>
      <c r="M4">
        <f t="shared" si="2"/>
        <v>0.16529888822158662</v>
      </c>
      <c r="N4">
        <f t="shared" si="2"/>
        <v>0.12245642825298196</v>
      </c>
      <c r="O4">
        <f t="shared" si="2"/>
        <v>9.0717953289412567E-2</v>
      </c>
      <c r="P4">
        <f t="shared" si="2"/>
        <v>6.7205512739749812E-2</v>
      </c>
      <c r="Q4">
        <f t="shared" si="2"/>
        <v>4.9787068367863986E-2</v>
      </c>
      <c r="R4">
        <f t="shared" si="2"/>
        <v>3.6883167401240036E-2</v>
      </c>
      <c r="S4">
        <f t="shared" si="2"/>
        <v>2.732372244729259E-2</v>
      </c>
      <c r="T4">
        <f t="shared" si="2"/>
        <v>2.0241911445804409E-2</v>
      </c>
      <c r="U4">
        <f t="shared" si="2"/>
        <v>1.4995576820477724E-2</v>
      </c>
      <c r="V4">
        <f t="shared" si="2"/>
        <v>1.1108996538242318E-2</v>
      </c>
      <c r="W4">
        <f t="shared" si="2"/>
        <v>8.2297470490200406E-3</v>
      </c>
      <c r="X4">
        <f t="shared" si="2"/>
        <v>6.0967465655156448E-3</v>
      </c>
      <c r="Y4">
        <f t="shared" si="2"/>
        <v>4.5165809426126746E-3</v>
      </c>
      <c r="Z4">
        <f>EXP(-m)^(Z1-1)/(1-EXP(-m))</f>
        <v>1.2909724851307328E-2</v>
      </c>
    </row>
    <row r="5" spans="1:26">
      <c r="B5" t="s">
        <v>30</v>
      </c>
      <c r="C5" t="s">
        <v>32</v>
      </c>
      <c r="D5" t="s">
        <v>67</v>
      </c>
      <c r="E5" t="s">
        <v>42</v>
      </c>
      <c r="G5">
        <f>0.5/(1+EXP(-(G1-15)/0.5))</f>
        <v>3.4572000534677115E-13</v>
      </c>
      <c r="H5">
        <f t="shared" ref="H5:Z5" si="3">0.5/(1+EXP(-(H1-15)/0.5))</f>
        <v>2.5545445140186106E-12</v>
      </c>
      <c r="I5">
        <f t="shared" si="3"/>
        <v>1.8875672720682908E-11</v>
      </c>
      <c r="J5">
        <f t="shared" si="3"/>
        <v>1.3947340460454057E-10</v>
      </c>
      <c r="K5">
        <f t="shared" si="3"/>
        <v>1.0305768090951019E-9</v>
      </c>
      <c r="L5">
        <f t="shared" si="3"/>
        <v>7.6149897563801747E-9</v>
      </c>
      <c r="M5">
        <f t="shared" si="3"/>
        <v>5.6267581027547497E-8</v>
      </c>
      <c r="N5">
        <f t="shared" si="3"/>
        <v>4.1576401383206604E-7</v>
      </c>
      <c r="O5">
        <f t="shared" si="3"/>
        <v>3.0720873011073591E-6</v>
      </c>
      <c r="P5">
        <f t="shared" si="3"/>
        <v>2.2698934351217197E-5</v>
      </c>
      <c r="Q5">
        <f t="shared" si="3"/>
        <v>1.6767506523323905E-4</v>
      </c>
      <c r="R5">
        <f t="shared" si="3"/>
        <v>1.2363115783173872E-3</v>
      </c>
      <c r="S5">
        <f t="shared" si="3"/>
        <v>8.9931049810457794E-3</v>
      </c>
      <c r="T5">
        <f t="shared" si="3"/>
        <v>5.9601461011058773E-2</v>
      </c>
      <c r="U5">
        <f t="shared" si="3"/>
        <v>0.25</v>
      </c>
      <c r="V5">
        <f t="shared" si="3"/>
        <v>0.44039853898894116</v>
      </c>
      <c r="W5">
        <f t="shared" si="3"/>
        <v>0.49100689501895423</v>
      </c>
      <c r="X5">
        <f t="shared" si="3"/>
        <v>0.49876368842168267</v>
      </c>
      <c r="Y5">
        <f t="shared" si="3"/>
        <v>0.49983232493476681</v>
      </c>
      <c r="Z5">
        <f t="shared" si="3"/>
        <v>0.4999773010656488</v>
      </c>
    </row>
    <row r="6" spans="1:26">
      <c r="A6" t="s">
        <v>27</v>
      </c>
      <c r="B6" s="11">
        <v>0.46452175642663507</v>
      </c>
      <c r="C6">
        <f>B6+dh</f>
        <v>0.46452275642663504</v>
      </c>
      <c r="D6">
        <f>B6-dh</f>
        <v>0.4645207564266351</v>
      </c>
      <c r="E6">
        <v>4</v>
      </c>
      <c r="F6" t="s">
        <v>24</v>
      </c>
      <c r="G6">
        <f t="shared" ref="G6:Z6" si="4">1/(1+EXP(-(G1-ah)/(0.1*ah)))</f>
        <v>5.5277863692359955E-4</v>
      </c>
      <c r="H6">
        <f t="shared" si="4"/>
        <v>6.6928509242848554E-3</v>
      </c>
      <c r="I6">
        <f t="shared" si="4"/>
        <v>7.5858180021243546E-2</v>
      </c>
      <c r="J6">
        <f t="shared" si="4"/>
        <v>0.5</v>
      </c>
      <c r="K6">
        <f t="shared" si="4"/>
        <v>0.92414181997875655</v>
      </c>
      <c r="L6">
        <f t="shared" si="4"/>
        <v>0.99330714907571527</v>
      </c>
      <c r="M6">
        <f t="shared" si="4"/>
        <v>0.9994472213630764</v>
      </c>
      <c r="N6">
        <f t="shared" si="4"/>
        <v>0.99995460213129761</v>
      </c>
      <c r="O6">
        <f t="shared" si="4"/>
        <v>0.99999627336071584</v>
      </c>
      <c r="P6">
        <f t="shared" si="4"/>
        <v>0.99999969409777301</v>
      </c>
      <c r="Q6">
        <f t="shared" si="4"/>
        <v>0.99999997489000902</v>
      </c>
      <c r="R6">
        <f t="shared" si="4"/>
        <v>0.99999999793884631</v>
      </c>
      <c r="S6">
        <f t="shared" si="4"/>
        <v>0.99999999983081023</v>
      </c>
      <c r="T6">
        <f t="shared" si="4"/>
        <v>0.999999999986112</v>
      </c>
      <c r="U6">
        <f t="shared" si="4"/>
        <v>0.99999999999886002</v>
      </c>
      <c r="V6">
        <f t="shared" si="4"/>
        <v>0.99999999999990652</v>
      </c>
      <c r="W6">
        <f t="shared" si="4"/>
        <v>0.99999999999999223</v>
      </c>
      <c r="X6">
        <f t="shared" si="4"/>
        <v>0.99999999999999933</v>
      </c>
      <c r="Y6">
        <f t="shared" si="4"/>
        <v>1</v>
      </c>
      <c r="Z6">
        <f t="shared" si="4"/>
        <v>1</v>
      </c>
    </row>
    <row r="7" spans="1:26">
      <c r="A7" t="s">
        <v>28</v>
      </c>
      <c r="B7" s="11">
        <v>1.3909420462577307</v>
      </c>
      <c r="C7">
        <f>B7</f>
        <v>1.3909420462577307</v>
      </c>
      <c r="D7">
        <f>C7</f>
        <v>1.3909420462577307</v>
      </c>
      <c r="E7">
        <v>7</v>
      </c>
      <c r="G7">
        <f t="shared" ref="G7:Z7" si="5">1/(1+EXP(-(G1-ah)/(0.1*ah)))</f>
        <v>1.8940594382518605E-4</v>
      </c>
      <c r="H7">
        <f t="shared" si="5"/>
        <v>7.898659417364622E-4</v>
      </c>
      <c r="I7">
        <f t="shared" si="5"/>
        <v>3.2876613859340125E-3</v>
      </c>
      <c r="J7">
        <f t="shared" si="5"/>
        <v>1.3576916943744367E-2</v>
      </c>
      <c r="K7">
        <f t="shared" si="5"/>
        <v>5.431326613264064E-2</v>
      </c>
      <c r="L7">
        <f t="shared" si="5"/>
        <v>0.19332136980230874</v>
      </c>
      <c r="M7">
        <f t="shared" si="5"/>
        <v>0.5</v>
      </c>
      <c r="N7">
        <f t="shared" si="5"/>
        <v>0.80667863019769126</v>
      </c>
      <c r="O7">
        <f t="shared" si="5"/>
        <v>0.94568673386735935</v>
      </c>
      <c r="P7">
        <f t="shared" si="5"/>
        <v>0.98642308305625559</v>
      </c>
      <c r="Q7">
        <f t="shared" si="5"/>
        <v>0.99671233861406594</v>
      </c>
      <c r="R7">
        <f t="shared" si="5"/>
        <v>0.99921013405826353</v>
      </c>
      <c r="S7">
        <f t="shared" si="5"/>
        <v>0.99981059405617489</v>
      </c>
      <c r="T7">
        <f t="shared" si="5"/>
        <v>0.99995460213129761</v>
      </c>
      <c r="U7">
        <f t="shared" si="5"/>
        <v>0.99998911997815432</v>
      </c>
      <c r="V7">
        <f t="shared" si="5"/>
        <v>0.99999739256991782</v>
      </c>
      <c r="W7">
        <f t="shared" si="5"/>
        <v>0.99999937512543957</v>
      </c>
      <c r="X7">
        <f t="shared" si="5"/>
        <v>0.99999985024809268</v>
      </c>
      <c r="Y7">
        <f t="shared" si="5"/>
        <v>0.99999996411179626</v>
      </c>
      <c r="Z7">
        <f t="shared" si="5"/>
        <v>0.99999999139935458</v>
      </c>
    </row>
    <row r="8" spans="1:26">
      <c r="A8" t="s">
        <v>47</v>
      </c>
      <c r="B8">
        <f>4*h/(1-h)</f>
        <v>12</v>
      </c>
      <c r="C8" t="s">
        <v>36</v>
      </c>
      <c r="F8" t="s">
        <v>35</v>
      </c>
      <c r="G8">
        <f t="shared" ref="G8:Z8" si="6">m+SUMPRODUCT(fe,G6:G7)</f>
        <v>0.3005202303944165</v>
      </c>
      <c r="H8">
        <f t="shared" si="6"/>
        <v>0.30420763261611866</v>
      </c>
      <c r="I8">
        <f t="shared" si="6"/>
        <v>0.33981072147834956</v>
      </c>
      <c r="J8">
        <f t="shared" si="6"/>
        <v>0.55114558284892068</v>
      </c>
      <c r="K8">
        <f t="shared" si="6"/>
        <v>0.80483058693731513</v>
      </c>
      <c r="L8">
        <f t="shared" si="6"/>
        <v>1.0303116032579556</v>
      </c>
      <c r="M8">
        <f t="shared" si="6"/>
        <v>1.4597360018521617</v>
      </c>
      <c r="N8">
        <f t="shared" si="6"/>
        <v>1.8865438926884874</v>
      </c>
      <c r="O8">
        <f t="shared" si="6"/>
        <v>2.0799154660458639</v>
      </c>
      <c r="P8">
        <f t="shared" si="6"/>
        <v>2.1365789559505228</v>
      </c>
      <c r="Q8">
        <f t="shared" si="6"/>
        <v>2.1508908445646746</v>
      </c>
      <c r="R8">
        <f t="shared" si="6"/>
        <v>2.154365143977647</v>
      </c>
      <c r="S8">
        <f t="shared" si="6"/>
        <v>2.1552003499146961</v>
      </c>
      <c r="T8">
        <f t="shared" si="6"/>
        <v>2.1554006568735256</v>
      </c>
      <c r="U8">
        <f t="shared" si="6"/>
        <v>2.1554486692039871</v>
      </c>
      <c r="V8">
        <f t="shared" si="6"/>
        <v>2.1554601759001883</v>
      </c>
      <c r="W8">
        <f t="shared" si="6"/>
        <v>2.1554629335200626</v>
      </c>
      <c r="X8">
        <f t="shared" si="6"/>
        <v>2.1554635943881406</v>
      </c>
      <c r="Y8">
        <f t="shared" si="6"/>
        <v>2.1554637527659541</v>
      </c>
      <c r="Z8">
        <f t="shared" si="6"/>
        <v>2.1554637907213667</v>
      </c>
    </row>
    <row r="9" spans="1:26">
      <c r="F9" s="7" t="s">
        <v>60</v>
      </c>
      <c r="G9" s="7">
        <f t="shared" ref="G9:Z9" si="7">EXP(-za)</f>
        <v>0.74043292475659694</v>
      </c>
      <c r="H9" s="7">
        <f t="shared" si="7"/>
        <v>0.73770767837252949</v>
      </c>
      <c r="I9" s="7">
        <f t="shared" si="7"/>
        <v>0.71190505834793083</v>
      </c>
      <c r="J9" s="7">
        <f t="shared" si="7"/>
        <v>0.57628924501144707</v>
      </c>
      <c r="K9" s="7">
        <f t="shared" si="7"/>
        <v>0.44716367551053404</v>
      </c>
      <c r="L9" s="7">
        <f t="shared" si="7"/>
        <v>0.35689573336740044</v>
      </c>
      <c r="M9" s="7">
        <f t="shared" si="7"/>
        <v>0.2322975927697167</v>
      </c>
      <c r="N9" s="7">
        <f t="shared" si="7"/>
        <v>0.15159483251181571</v>
      </c>
      <c r="O9" s="7">
        <f t="shared" si="7"/>
        <v>0.12494077348979821</v>
      </c>
      <c r="P9" s="7">
        <f t="shared" si="7"/>
        <v>0.11805803469740155</v>
      </c>
      <c r="Q9" s="7">
        <f t="shared" si="7"/>
        <v>0.11638043470210052</v>
      </c>
      <c r="R9" s="7">
        <f t="shared" si="7"/>
        <v>0.11597679581332951</v>
      </c>
      <c r="S9" s="7">
        <f t="shared" si="7"/>
        <v>0.11587997174455328</v>
      </c>
      <c r="T9" s="7">
        <f t="shared" si="7"/>
        <v>0.11585676250438764</v>
      </c>
      <c r="U9" s="7">
        <f t="shared" si="7"/>
        <v>0.11585120008475351</v>
      </c>
      <c r="V9" s="7">
        <f t="shared" si="7"/>
        <v>0.11584986702785914</v>
      </c>
      <c r="W9" s="7">
        <f t="shared" si="7"/>
        <v>0.11584954755840389</v>
      </c>
      <c r="X9" s="7">
        <f t="shared" si="7"/>
        <v>0.11584947099716135</v>
      </c>
      <c r="Y9" s="7">
        <f t="shared" si="7"/>
        <v>0.11584945264917688</v>
      </c>
      <c r="Z9" s="7">
        <f t="shared" si="7"/>
        <v>0.1158494482520632</v>
      </c>
    </row>
    <row r="10" spans="1:26">
      <c r="A10" t="s">
        <v>68</v>
      </c>
      <c r="B10">
        <f>B29/SUM(Ye)</f>
        <v>0.71151800145797184</v>
      </c>
      <c r="C10">
        <f>C29/SUM(Ye)</f>
        <v>0.28848199854202827</v>
      </c>
      <c r="F10" t="s">
        <v>61</v>
      </c>
      <c r="G10">
        <f t="shared" ref="G10:Z10" si="8">1-sa</f>
        <v>0.25956707524340306</v>
      </c>
      <c r="H10">
        <f t="shared" si="8"/>
        <v>0.26229232162747051</v>
      </c>
      <c r="I10">
        <f t="shared" si="8"/>
        <v>0.28809494165206917</v>
      </c>
      <c r="J10">
        <f t="shared" si="8"/>
        <v>0.42371075498855293</v>
      </c>
      <c r="K10">
        <f t="shared" si="8"/>
        <v>0.55283632448946596</v>
      </c>
      <c r="L10">
        <f t="shared" si="8"/>
        <v>0.64310426663259956</v>
      </c>
      <c r="M10">
        <f t="shared" si="8"/>
        <v>0.76770240723028327</v>
      </c>
      <c r="N10">
        <f t="shared" si="8"/>
        <v>0.84840516748818429</v>
      </c>
      <c r="O10">
        <f t="shared" si="8"/>
        <v>0.87505922651020174</v>
      </c>
      <c r="P10">
        <f t="shared" si="8"/>
        <v>0.8819419653025985</v>
      </c>
      <c r="Q10">
        <f t="shared" si="8"/>
        <v>0.88361956529789953</v>
      </c>
      <c r="R10">
        <f t="shared" si="8"/>
        <v>0.88402320418667046</v>
      </c>
      <c r="S10">
        <f t="shared" si="8"/>
        <v>0.88412002825544667</v>
      </c>
      <c r="T10">
        <f t="shared" si="8"/>
        <v>0.88414323749561241</v>
      </c>
      <c r="U10">
        <f t="shared" si="8"/>
        <v>0.88414879991524653</v>
      </c>
      <c r="V10">
        <f t="shared" si="8"/>
        <v>0.88415013297214085</v>
      </c>
      <c r="W10">
        <f t="shared" si="8"/>
        <v>0.88415045244159607</v>
      </c>
      <c r="X10">
        <f t="shared" si="8"/>
        <v>0.88415052900283864</v>
      </c>
      <c r="Y10">
        <f t="shared" si="8"/>
        <v>0.8841505473508231</v>
      </c>
      <c r="Z10">
        <f t="shared" si="8"/>
        <v>0.88415055174793677</v>
      </c>
    </row>
    <row r="11" spans="1:26">
      <c r="F11" t="s">
        <v>40</v>
      </c>
      <c r="G11">
        <f t="shared" ref="G11:Z11" si="9">wa*G6/za*(1-EXP(-za))</f>
        <v>2.843803160686559E-6</v>
      </c>
      <c r="H11">
        <f t="shared" si="9"/>
        <v>2.0677795939224973E-4</v>
      </c>
      <c r="I11">
        <f>wa*I6/za*(1-EXP(-za))</f>
        <v>5.9071044047261916E-3</v>
      </c>
      <c r="J11">
        <f t="shared" si="9"/>
        <v>6.4187411679668294E-2</v>
      </c>
      <c r="K11">
        <f t="shared" si="9"/>
        <v>0.16033578695345344</v>
      </c>
      <c r="L11">
        <f t="shared" si="9"/>
        <v>0.21157572698260743</v>
      </c>
      <c r="M11">
        <f t="shared" si="9"/>
        <v>0.22478149016438181</v>
      </c>
      <c r="N11">
        <f t="shared" si="9"/>
        <v>0.22860950919623255</v>
      </c>
      <c r="O11">
        <f t="shared" si="9"/>
        <v>0.24467135178982008</v>
      </c>
      <c r="P11">
        <f t="shared" si="9"/>
        <v>0.26684811642237977</v>
      </c>
      <c r="Q11">
        <f t="shared" si="9"/>
        <v>0.28882891980394526</v>
      </c>
      <c r="R11">
        <f t="shared" si="9"/>
        <v>0.30848936649918085</v>
      </c>
      <c r="S11">
        <f t="shared" si="9"/>
        <v>0.32544046975936375</v>
      </c>
      <c r="T11">
        <f t="shared" si="9"/>
        <v>0.33982467570224262</v>
      </c>
      <c r="U11">
        <f t="shared" si="9"/>
        <v>0.35192529757851421</v>
      </c>
      <c r="V11">
        <f t="shared" si="9"/>
        <v>0.36204692314656467</v>
      </c>
      <c r="W11">
        <f t="shared" si="9"/>
        <v>0.3704776524184647</v>
      </c>
      <c r="X11">
        <f t="shared" si="9"/>
        <v>0.3774769968898658</v>
      </c>
      <c r="Y11">
        <f t="shared" si="9"/>
        <v>0.38327282492186943</v>
      </c>
      <c r="Z11">
        <f t="shared" si="9"/>
        <v>0.38806199141700309</v>
      </c>
    </row>
    <row r="12" spans="1:26">
      <c r="G12">
        <f t="shared" ref="G12:Z12" si="10">wa*G7/za*(1-EXP(-za))</f>
        <v>9.7441034389563493E-7</v>
      </c>
      <c r="H12">
        <f t="shared" si="10"/>
        <v>2.4403183258284673E-5</v>
      </c>
      <c r="I12">
        <f t="shared" si="10"/>
        <v>2.560114024441455E-4</v>
      </c>
      <c r="J12">
        <f t="shared" si="10"/>
        <v>1.7429343144175667E-3</v>
      </c>
      <c r="K12">
        <f t="shared" si="10"/>
        <v>9.4231860079543508E-3</v>
      </c>
      <c r="L12">
        <f t="shared" si="10"/>
        <v>4.1177705602196552E-2</v>
      </c>
      <c r="M12">
        <f t="shared" si="10"/>
        <v>0.11245290664664513</v>
      </c>
      <c r="N12">
        <f t="shared" si="10"/>
        <v>0.18442277812965066</v>
      </c>
      <c r="O12">
        <f t="shared" si="10"/>
        <v>0.23138331382717367</v>
      </c>
      <c r="P12">
        <f t="shared" si="10"/>
        <v>0.26322522223030015</v>
      </c>
      <c r="Q12">
        <f t="shared" si="10"/>
        <v>0.28787935534581283</v>
      </c>
      <c r="R12">
        <f t="shared" si="10"/>
        <v>0.30824570189053707</v>
      </c>
      <c r="S12">
        <f t="shared" si="10"/>
        <v>0.32537882945508084</v>
      </c>
      <c r="T12">
        <f t="shared" si="10"/>
        <v>0.3398092483909525</v>
      </c>
      <c r="U12">
        <f t="shared" si="10"/>
        <v>0.35192146862398965</v>
      </c>
      <c r="V12">
        <f t="shared" si="10"/>
        <v>0.36204597913455994</v>
      </c>
      <c r="W12">
        <f t="shared" si="10"/>
        <v>0.37047742091640734</v>
      </c>
      <c r="X12">
        <f t="shared" si="10"/>
        <v>0.37747694036196588</v>
      </c>
      <c r="Y12">
        <f t="shared" si="10"/>
        <v>0.38327281116689627</v>
      </c>
      <c r="Z12">
        <f t="shared" si="10"/>
        <v>0.3880619880794195</v>
      </c>
    </row>
    <row r="13" spans="1:26">
      <c r="A13" t="s">
        <v>29</v>
      </c>
      <c r="B13" s="2">
        <v>9.9999999999999995E-7</v>
      </c>
    </row>
    <row r="14" spans="1:26">
      <c r="F14" t="s">
        <v>25</v>
      </c>
      <c r="G14">
        <f>1</f>
        <v>1</v>
      </c>
      <c r="H14">
        <f>G14*EXP(-m-SUMPRODUCT(G$6:G$7,$B$6:$B$7))</f>
        <v>0.74043292475659694</v>
      </c>
      <c r="I14">
        <f t="shared" ref="I14:Y14" si="11">H14*EXP(-m-SUMPRODUCT(H$6:H$7,$B$6:$B$7))</f>
        <v>0.54622305391277093</v>
      </c>
      <c r="J14">
        <f t="shared" si="11"/>
        <v>0.38885895506675616</v>
      </c>
      <c r="K14">
        <f t="shared" si="11"/>
        <v>0.22409523363136113</v>
      </c>
      <c r="L14">
        <f t="shared" si="11"/>
        <v>0.10020724833499128</v>
      </c>
      <c r="M14">
        <f t="shared" si="11"/>
        <v>3.5763539383245932E-2</v>
      </c>
      <c r="N14">
        <f t="shared" si="11"/>
        <v>8.3077841076529893E-3</v>
      </c>
      <c r="O14">
        <f t="shared" si="11"/>
        <v>1.2594171403439794E-3</v>
      </c>
      <c r="P14">
        <f t="shared" si="11"/>
        <v>1.5735255166088652E-4</v>
      </c>
      <c r="Q14">
        <f t="shared" si="11"/>
        <v>1.8576733003705611E-5</v>
      </c>
      <c r="R14">
        <f t="shared" si="11"/>
        <v>2.1619682623161166E-6</v>
      </c>
      <c r="S14">
        <f t="shared" si="11"/>
        <v>2.5073815171353505E-7</v>
      </c>
      <c r="T14">
        <f t="shared" si="11"/>
        <v>2.9055529935845954E-8</v>
      </c>
      <c r="U14">
        <f t="shared" si="11"/>
        <v>3.3662796312164302E-9</v>
      </c>
      <c r="V14">
        <f t="shared" si="11"/>
        <v>3.8998753509728491E-10</v>
      </c>
      <c r="W14">
        <f t="shared" si="11"/>
        <v>4.5180004083543008E-11</v>
      </c>
      <c r="X14">
        <f t="shared" si="11"/>
        <v>5.2340830317652978E-12</v>
      </c>
      <c r="Y14">
        <f t="shared" si="11"/>
        <v>6.0636575038522821E-13</v>
      </c>
      <c r="Z14">
        <f>Y14*EXP(-m-SUMPRODUCT(Y$6:Y$7,$B$6:$B$7))/(1-EXP(-m-SUMPRODUCT(B$6:B$7,Z6:Z7)))</f>
        <v>7.9451559633661719E-14</v>
      </c>
    </row>
    <row r="15" spans="1:26">
      <c r="A15" t="s">
        <v>105</v>
      </c>
      <c r="B15">
        <f>phif/phie</f>
        <v>0.20790423731179028</v>
      </c>
      <c r="F15" t="s">
        <v>26</v>
      </c>
      <c r="G15">
        <f>1</f>
        <v>1</v>
      </c>
      <c r="H15">
        <f>G15*EXP(-m-SUMPRODUCT(G$6:G$7,$C$6:$C$7))</f>
        <v>0.74043292434730146</v>
      </c>
      <c r="I15">
        <f t="shared" ref="I15:Y15" si="12">H15*EXP(-m-SUMPRODUCT(H$6:H$7,$C$6:$C$7))</f>
        <v>0.54622304995504101</v>
      </c>
      <c r="J15">
        <f t="shared" si="12"/>
        <v>0.3888589227510969</v>
      </c>
      <c r="K15">
        <f t="shared" si="12"/>
        <v>0.22409510296061477</v>
      </c>
      <c r="L15">
        <f t="shared" si="12"/>
        <v>0.100207097298168</v>
      </c>
      <c r="M15">
        <f t="shared" si="12"/>
        <v>3.5763449954739963E-2</v>
      </c>
      <c r="N15">
        <f t="shared" si="12"/>
        <v>8.3077550304594995E-3</v>
      </c>
      <c r="O15">
        <f t="shared" si="12"/>
        <v>1.2594114730367745E-3</v>
      </c>
      <c r="P15">
        <f t="shared" si="12"/>
        <v>1.5735168623196222E-4</v>
      </c>
      <c r="Q15">
        <f t="shared" si="12"/>
        <v>1.8576612256251773E-5</v>
      </c>
      <c r="R15">
        <f t="shared" si="12"/>
        <v>2.1619520477218745E-6</v>
      </c>
      <c r="S15">
        <f t="shared" si="12"/>
        <v>2.5073602046070423E-7</v>
      </c>
      <c r="T15">
        <f t="shared" si="12"/>
        <v>2.905525391105971E-8</v>
      </c>
      <c r="U15">
        <f t="shared" si="12"/>
        <v>3.3662442856323557E-9</v>
      </c>
      <c r="V15">
        <f t="shared" si="12"/>
        <v>3.8998305028570686E-10</v>
      </c>
      <c r="W15">
        <f t="shared" si="12"/>
        <v>4.5179439339256107E-11</v>
      </c>
      <c r="X15">
        <f t="shared" si="12"/>
        <v>5.2340123723801861E-12</v>
      </c>
      <c r="Y15">
        <f t="shared" si="12"/>
        <v>6.0635695817558055E-13</v>
      </c>
      <c r="Z15">
        <f>Y15*EXP(-m-SUMPRODUCT(Y$6:Y$7,$C$6:$C$7))/(1-EXP(-m-SUMPRODUCT(C$6:C$7,Z6:Z7)))</f>
        <v>7.9450317737662751E-14</v>
      </c>
    </row>
    <row r="16" spans="1:26">
      <c r="F16" t="s">
        <v>66</v>
      </c>
      <c r="G16">
        <f>1</f>
        <v>1</v>
      </c>
      <c r="H16">
        <f>G16*EXP(-m-SUMPRODUCT(G$6:G$7,$D$6:$D$7))</f>
        <v>0.74043292516589243</v>
      </c>
      <c r="I16">
        <f t="shared" ref="I16:Y16" si="13">H16*EXP(-m-SUMPRODUCT(H$6:H$7,$D$6:$D$7))</f>
        <v>0.54622305787050085</v>
      </c>
      <c r="J16">
        <f t="shared" si="13"/>
        <v>0.38885898738241803</v>
      </c>
      <c r="K16">
        <f t="shared" si="13"/>
        <v>0.22409536430218366</v>
      </c>
      <c r="L16">
        <f t="shared" si="13"/>
        <v>0.10020739937204221</v>
      </c>
      <c r="M16">
        <f t="shared" si="13"/>
        <v>3.576362881197552E-2</v>
      </c>
      <c r="N16">
        <f t="shared" si="13"/>
        <v>8.3078131849482519E-3</v>
      </c>
      <c r="O16">
        <f t="shared" si="13"/>
        <v>1.2594228076766875E-3</v>
      </c>
      <c r="P16">
        <f t="shared" si="13"/>
        <v>1.5735341709457071E-4</v>
      </c>
      <c r="Q16">
        <f t="shared" si="13"/>
        <v>1.8576853751944307E-5</v>
      </c>
      <c r="R16">
        <f t="shared" si="13"/>
        <v>2.1619844770319663E-6</v>
      </c>
      <c r="S16">
        <f t="shared" si="13"/>
        <v>2.5074028298448151E-7</v>
      </c>
      <c r="T16">
        <f t="shared" si="13"/>
        <v>2.905580596325445E-8</v>
      </c>
      <c r="U16">
        <f t="shared" si="13"/>
        <v>3.3663149771716341E-9</v>
      </c>
      <c r="V16">
        <f t="shared" si="13"/>
        <v>3.899920199604384E-10</v>
      </c>
      <c r="W16">
        <f t="shared" si="13"/>
        <v>4.5180568834889229E-11</v>
      </c>
      <c r="X16">
        <f t="shared" si="13"/>
        <v>5.2341536921043143E-12</v>
      </c>
      <c r="Y16">
        <f t="shared" si="13"/>
        <v>6.0637454272236306E-13</v>
      </c>
      <c r="Z16">
        <f>Y16*EXP(-m-SUMPRODUCT(Y$6:Y$7,$D$6:$D$7))/(1-EXP(-m-SUMPRODUCT(D$6:D$7,Z6:Z7)))</f>
        <v>7.9452801549084625E-14</v>
      </c>
    </row>
    <row r="17" spans="1:26">
      <c r="A17" t="s">
        <v>51</v>
      </c>
      <c r="B17">
        <f>ro*(reck-phie/phif)/(reck-1)</f>
        <v>0.65364483846022825</v>
      </c>
      <c r="F17" s="3" t="s">
        <v>31</v>
      </c>
      <c r="G17" s="3">
        <f>(G14-G15)/dh</f>
        <v>0</v>
      </c>
      <c r="H17" s="3">
        <f t="shared" ref="H17:Y17" si="14">(H15-H14)/dh</f>
        <v>-4.0929548639212499E-4</v>
      </c>
      <c r="I17" s="3">
        <f t="shared" si="14"/>
        <v>-3.9577299215665107E-3</v>
      </c>
      <c r="J17" s="3">
        <f t="shared" si="14"/>
        <v>-3.2315659259651852E-2</v>
      </c>
      <c r="K17" s="3">
        <f t="shared" si="14"/>
        <v>-0.13067074636219367</v>
      </c>
      <c r="L17" s="3">
        <f t="shared" si="14"/>
        <v>-0.15103682328432289</v>
      </c>
      <c r="M17" s="3">
        <f t="shared" si="14"/>
        <v>-8.9428505968547345E-2</v>
      </c>
      <c r="N17" s="3">
        <f t="shared" si="14"/>
        <v>-2.9077193489795983E-2</v>
      </c>
      <c r="O17" s="3">
        <f t="shared" si="14"/>
        <v>-5.6673072049064771E-3</v>
      </c>
      <c r="P17" s="3">
        <f t="shared" si="14"/>
        <v>-8.6542892429740566E-4</v>
      </c>
      <c r="Q17" s="3">
        <f t="shared" si="14"/>
        <v>-1.2074745383791087E-4</v>
      </c>
      <c r="R17" s="3">
        <f t="shared" si="14"/>
        <v>-1.6214594242052529E-5</v>
      </c>
      <c r="S17" s="3">
        <f t="shared" si="14"/>
        <v>-2.1312528308124999E-6</v>
      </c>
      <c r="T17" s="3">
        <f t="shared" si="14"/>
        <v>-2.7602478624401611E-7</v>
      </c>
      <c r="U17" s="3">
        <f t="shared" si="14"/>
        <v>-3.5345584074481226E-8</v>
      </c>
      <c r="V17" s="3">
        <f t="shared" si="14"/>
        <v>-4.4848115780510135E-9</v>
      </c>
      <c r="W17" s="3">
        <f t="shared" si="14"/>
        <v>-5.6474428690066234E-10</v>
      </c>
      <c r="X17" s="3">
        <f t="shared" si="14"/>
        <v>-7.0659385111652573E-11</v>
      </c>
      <c r="Y17" s="3">
        <f t="shared" si="14"/>
        <v>-8.7922096476563489E-12</v>
      </c>
      <c r="Z17" s="3">
        <f>(Z15-Z14)/dh</f>
        <v>-1.2418959989673517E-12</v>
      </c>
    </row>
    <row r="18" spans="1:26">
      <c r="A18" t="s">
        <v>37</v>
      </c>
      <c r="B18">
        <f>SUMPRODUCT(lx,fa)</f>
        <v>0.53468880128210072</v>
      </c>
      <c r="F18" t="s">
        <v>33</v>
      </c>
      <c r="G18">
        <f>0</f>
        <v>0</v>
      </c>
      <c r="H18">
        <f t="shared" ref="H18:Y18" si="15">G18*EXP(-G8) - G14*G6*EXP(-G8)</f>
        <v>-4.0929550288030581E-4</v>
      </c>
      <c r="I18">
        <f t="shared" si="15"/>
        <v>-3.9577299064439322E-3</v>
      </c>
      <c r="J18">
        <f t="shared" si="15"/>
        <v>-3.2315660556298961E-2</v>
      </c>
      <c r="K18">
        <f t="shared" si="15"/>
        <v>-0.1306707844397163</v>
      </c>
      <c r="L18">
        <f t="shared" si="15"/>
        <v>-0.15103693710327029</v>
      </c>
      <c r="M18">
        <f t="shared" si="15"/>
        <v>-8.9428617778666675E-2</v>
      </c>
      <c r="N18">
        <f t="shared" si="15"/>
        <v>-2.9077244376785463E-2</v>
      </c>
      <c r="O18">
        <f t="shared" si="15"/>
        <v>-5.6673199566939277E-3</v>
      </c>
      <c r="P18">
        <f t="shared" si="15"/>
        <v>-8.6543130426819501E-4</v>
      </c>
      <c r="Q18">
        <f t="shared" si="15"/>
        <v>-1.2074784626855366E-4</v>
      </c>
      <c r="R18">
        <f t="shared" si="15"/>
        <v>-1.6214655046105795E-5</v>
      </c>
      <c r="S18">
        <f t="shared" si="15"/>
        <v>-2.1312618886625098E-6</v>
      </c>
      <c r="T18">
        <f t="shared" si="15"/>
        <v>-2.7602609736938492E-7</v>
      </c>
      <c r="U18">
        <f t="shared" si="15"/>
        <v>-3.5345769639107488E-8</v>
      </c>
      <c r="V18">
        <f t="shared" si="15"/>
        <v>-4.4848373657066878E-9</v>
      </c>
      <c r="W18">
        <f t="shared" si="15"/>
        <v>-5.6474781654223258E-10</v>
      </c>
      <c r="X18">
        <f t="shared" si="15"/>
        <v>-7.0659862062779392E-11</v>
      </c>
      <c r="Y18">
        <f t="shared" si="15"/>
        <v>-8.7922733910906105E-12</v>
      </c>
      <c r="Z18">
        <f>(Y18-Y14*Y6)*Y$9/oa-Y14*Y$9*Z6*sa/oa^2</f>
        <v>-1.2419057109252023E-12</v>
      </c>
    </row>
    <row r="19" spans="1:26">
      <c r="A19" t="s">
        <v>38</v>
      </c>
      <c r="B19">
        <f>SUMPRODUCT(lz,fa)</f>
        <v>0.11116406742971054</v>
      </c>
      <c r="F19" t="s">
        <v>34</v>
      </c>
      <c r="G19">
        <v>0</v>
      </c>
      <c r="H19">
        <f t="shared" ref="H19:Y19" si="16">G19*EXP(-G8) - G14*G7*EXP(-G8)</f>
        <v>-1.4024239695276621E-4</v>
      </c>
      <c r="I19">
        <f t="shared" si="16"/>
        <v>-5.3490087994240111E-4</v>
      </c>
      <c r="J19">
        <f t="shared" si="16"/>
        <v>-1.6592352132933782E-3</v>
      </c>
      <c r="K19">
        <f t="shared" si="16"/>
        <v>-3.998721782867227E-3</v>
      </c>
      <c r="L19">
        <f t="shared" si="16"/>
        <v>-7.2306660770089376E-3</v>
      </c>
      <c r="M19">
        <f t="shared" si="16"/>
        <v>-9.4944502948368075E-3</v>
      </c>
      <c r="N19">
        <f t="shared" si="16"/>
        <v>-6.359430001988812E-3</v>
      </c>
      <c r="O19">
        <f t="shared" si="16"/>
        <v>-1.9800016196422849E-3</v>
      </c>
      <c r="P19">
        <f t="shared" si="16"/>
        <v>-3.9618915451503903E-4</v>
      </c>
      <c r="Q19">
        <f t="shared" si="16"/>
        <v>-6.509783119309885E-5</v>
      </c>
      <c r="R19">
        <f t="shared" si="16"/>
        <v>-9.7309743351592882E-6</v>
      </c>
      <c r="S19">
        <f t="shared" si="16"/>
        <v>-1.3791073257207211E-6</v>
      </c>
      <c r="T19">
        <f t="shared" si="16"/>
        <v>-1.8886094458299872E-7</v>
      </c>
      <c r="U19">
        <f t="shared" si="16"/>
        <v>-2.5246944412202515E-8</v>
      </c>
      <c r="V19">
        <f t="shared" si="16"/>
        <v>-3.3148721006511065E-9</v>
      </c>
      <c r="W19">
        <f t="shared" si="16"/>
        <v>-4.2920737835463206E-10</v>
      </c>
      <c r="X19">
        <f t="shared" si="16"/>
        <v>-5.4957560352232766E-11</v>
      </c>
      <c r="Y19">
        <f t="shared" si="16"/>
        <v>-6.9731699536815352E-12</v>
      </c>
      <c r="Z19">
        <f>Y19*EXP(-Y8)/(1-EXP(-za))-Y14*Y7*EXP(-Y8)/(1-EXP(-za))-Y14*EXP(-Y8)*Z7*EXP(-za)/(1-EXP(-za))^2</f>
        <v>-1.0035502185040816E-12</v>
      </c>
    </row>
    <row r="20" spans="1:26">
      <c r="A20" t="s">
        <v>49</v>
      </c>
      <c r="B20">
        <f>B6</f>
        <v>0.46452175642663507</v>
      </c>
      <c r="C20">
        <f>B7</f>
        <v>1.3909420462577307</v>
      </c>
      <c r="F20" s="4" t="s">
        <v>58</v>
      </c>
      <c r="G20" s="4">
        <v>0</v>
      </c>
      <c r="H20" s="4">
        <f t="shared" ref="H20:Y20" si="17">G20*EXP(-G$8)+G$14*G6^2*EXP(-G$8)</f>
        <v>2.2624981018113464E-7</v>
      </c>
      <c r="I20" s="4">
        <f t="shared" si="17"/>
        <v>2.4634560163819147E-5</v>
      </c>
      <c r="J20" s="4">
        <f t="shared" si="17"/>
        <v>2.2552121222906216E-3</v>
      </c>
      <c r="K20" s="4">
        <f t="shared" si="17"/>
        <v>5.7323462899135806E-2</v>
      </c>
      <c r="L20" s="4">
        <f t="shared" si="17"/>
        <v>0.11121377868128988</v>
      </c>
      <c r="M20" s="4">
        <f t="shared" si="17"/>
        <v>7.497814441207995E-2</v>
      </c>
      <c r="N20" s="4">
        <f t="shared" si="17"/>
        <v>2.5715844372331164E-2</v>
      </c>
      <c r="O20" s="4">
        <f t="shared" si="17"/>
        <v>5.1576919137550992E-3</v>
      </c>
      <c r="P20" s="4">
        <f t="shared" si="17"/>
        <v>8.0175739599731052E-4</v>
      </c>
      <c r="Q20" s="4">
        <f t="shared" si="17"/>
        <v>1.1323062411392815E-4</v>
      </c>
      <c r="R20" s="4">
        <f t="shared" si="17"/>
        <v>1.5339797409711216E-5</v>
      </c>
      <c r="S20" s="4">
        <f t="shared" si="17"/>
        <v>2.0297987026838336E-6</v>
      </c>
      <c r="T20" s="4">
        <f t="shared" si="17"/>
        <v>2.642685462401477E-7</v>
      </c>
      <c r="U20" s="4">
        <f t="shared" si="17"/>
        <v>3.398357783024751E-8</v>
      </c>
      <c r="V20" s="4">
        <f t="shared" si="17"/>
        <v>4.3270258099041937E-9</v>
      </c>
      <c r="W20" s="4">
        <f t="shared" si="17"/>
        <v>5.4646536878704999E-10</v>
      </c>
      <c r="X20" s="4">
        <f t="shared" si="17"/>
        <v>6.8541848762081276E-11</v>
      </c>
      <c r="Y20" s="4">
        <f t="shared" si="17"/>
        <v>8.5469026706397826E-12</v>
      </c>
      <c r="Z20" s="4">
        <f>Y20*Y9/oa+2*Y$14*(Y6)*Y$9*sa/oa^2 + 2*Y$14*Y$9*Z6^2*sa^2/oa^3 +Y$14*Y$9*Z6^2*sa/oa^2</f>
        <v>1.1538525263248449E-12</v>
      </c>
    </row>
    <row r="21" spans="1:26">
      <c r="A21" t="s">
        <v>48</v>
      </c>
      <c r="B21">
        <f>SUMPRODUCT(fa,G18:Z18)</f>
        <v>-0.14152575234104064</v>
      </c>
      <c r="C21">
        <f>SUMPRODUCT(fa,G19:Z19)</f>
        <v>-1.2232580087474715E-2</v>
      </c>
      <c r="F21" s="4" t="s">
        <v>59</v>
      </c>
      <c r="G21" s="4">
        <v>0</v>
      </c>
      <c r="H21" s="4">
        <f t="shared" ref="H21:Y21" si="18">G21*EXP(-G$8)+G$14*G7^2*EXP(-G$8)</f>
        <v>2.6562743559145082E-8</v>
      </c>
      <c r="I21" s="4">
        <f t="shared" si="18"/>
        <v>3.6037766101739746E-7</v>
      </c>
      <c r="J21" s="4">
        <f t="shared" si="18"/>
        <v>4.4596212291218045E-6</v>
      </c>
      <c r="K21" s="4">
        <f t="shared" si="18"/>
        <v>4.3878105329264891E-5</v>
      </c>
      <c r="L21" s="4">
        <f t="shared" si="18"/>
        <v>3.1522515091578115E-4</v>
      </c>
      <c r="M21" s="4">
        <f t="shared" si="18"/>
        <v>1.4490987056353906E-3</v>
      </c>
      <c r="N21" s="4">
        <f t="shared" si="18"/>
        <v>2.413568167918061E-3</v>
      </c>
      <c r="O21" s="4">
        <f t="shared" si="18"/>
        <v>1.1854254973132502E-3</v>
      </c>
      <c r="P21" s="4">
        <f t="shared" si="18"/>
        <v>2.8883204733059283E-4</v>
      </c>
      <c r="Q21" s="4">
        <f t="shared" si="18"/>
        <v>5.2174671645890548E-5</v>
      </c>
      <c r="R21" s="4">
        <f t="shared" si="18"/>
        <v>8.2198869578609038E-6</v>
      </c>
      <c r="S21" s="4">
        <f t="shared" si="18"/>
        <v>1.2036583604139301E-6</v>
      </c>
      <c r="T21" s="4">
        <f t="shared" si="18"/>
        <v>1.6852442119292165E-7</v>
      </c>
      <c r="U21" s="4">
        <f t="shared" si="18"/>
        <v>2.289066783665051E-8</v>
      </c>
      <c r="V21" s="4">
        <f t="shared" si="18"/>
        <v>3.0418903886150772E-9</v>
      </c>
      <c r="W21" s="4">
        <f t="shared" si="18"/>
        <v>3.9758236551082609E-10</v>
      </c>
      <c r="X21" s="4">
        <f t="shared" si="18"/>
        <v>5.1293813652105835E-11</v>
      </c>
      <c r="Y21" s="4">
        <f t="shared" si="18"/>
        <v>6.5487267457998202E-12</v>
      </c>
      <c r="Z21" s="4">
        <f>Y21*EXP(-Y$8)/oa+2*Y$14*(Y7)*Y$9*sa/oa^2 + 2*Y$14*Y$9*Z7^2*sa^2/oa^3 +Y$14*Y$9*Z7^2*sa/oa^2</f>
        <v>8.9203332868671843E-13</v>
      </c>
    </row>
    <row r="22" spans="1:26">
      <c r="A22" t="s">
        <v>64</v>
      </c>
      <c r="B22">
        <f>SUMPRODUCT(fa,G20:Z20)</f>
        <v>0.10117804355870957</v>
      </c>
      <c r="C22">
        <f>SUMPRODUCT(fa,G21:Z21)</f>
        <v>2.8854211806250453E-3</v>
      </c>
      <c r="F22" t="s">
        <v>44</v>
      </c>
      <c r="G22">
        <f>G11*G18+lz*wa*G6/za*(EXP(-za)-(1-EXP(-za))/za)</f>
        <v>-1.3507901836356704E-6</v>
      </c>
      <c r="H22">
        <f>H11*H18+lz*wa*H6/za*(EXP(-za)-(1-EXP(-za))/za)</f>
        <v>-7.2761896744053922E-5</v>
      </c>
      <c r="I22">
        <f t="shared" ref="I22:Z22" si="19">I11*I18+lz*wa*I6/za*(EXP(-za)-(1-EXP(-za))/za)</f>
        <v>-1.5454830444624733E-3</v>
      </c>
      <c r="J22">
        <f t="shared" si="19"/>
        <v>-1.3413569697664336E-2</v>
      </c>
      <c r="K22">
        <f t="shared" si="19"/>
        <v>-3.6532237748729393E-2</v>
      </c>
      <c r="L22">
        <f t="shared" si="19"/>
        <v>-4.0767534413041651E-2</v>
      </c>
      <c r="M22">
        <f t="shared" si="19"/>
        <v>-2.3176545624711976E-2</v>
      </c>
      <c r="N22">
        <f t="shared" si="19"/>
        <v>-7.314703617239007E-3</v>
      </c>
      <c r="O22">
        <f t="shared" si="19"/>
        <v>-1.4907860352845349E-3</v>
      </c>
      <c r="P22">
        <f t="shared" si="19"/>
        <v>-2.4497052714382675E-4</v>
      </c>
      <c r="Q22">
        <f t="shared" si="19"/>
        <v>-3.666333370139815E-5</v>
      </c>
      <c r="R22">
        <f t="shared" si="19"/>
        <v>-5.2241289768609113E-6</v>
      </c>
      <c r="S22">
        <f t="shared" si="19"/>
        <v>-7.2076573266479851E-7</v>
      </c>
      <c r="T22">
        <f t="shared" si="19"/>
        <v>-9.7087584948259474E-8</v>
      </c>
      <c r="U22">
        <f t="shared" si="19"/>
        <v>-1.2833461015377757E-8</v>
      </c>
      <c r="V22">
        <f t="shared" si="19"/>
        <v>-1.670726169900941E-9</v>
      </c>
      <c r="W22">
        <f t="shared" si="19"/>
        <v>-2.1479872388824993E-10</v>
      </c>
      <c r="X22">
        <f t="shared" si="19"/>
        <v>-2.7330214543328743E-11</v>
      </c>
      <c r="Y22">
        <f t="shared" si="19"/>
        <v>-3.4472084914333607E-12</v>
      </c>
      <c r="Z22">
        <f t="shared" si="19"/>
        <v>-4.9220067174883218E-13</v>
      </c>
    </row>
    <row r="23" spans="1:26">
      <c r="A23" t="s">
        <v>41</v>
      </c>
      <c r="B23">
        <f>SUMPRODUCT(lz*G11:Z11)</f>
        <v>9.576878041716208E-2</v>
      </c>
      <c r="C23">
        <f>SUMPRODUCT(lz*G12:Z12)</f>
        <v>1.2967426849242146E-2</v>
      </c>
      <c r="F23" t="s">
        <v>45</v>
      </c>
      <c r="G23">
        <f t="shared" ref="G23:Z23" si="20">G12*G19+lz*wa*G7/za*(EXP(-za)-(1-EXP(-za))/za)</f>
        <v>-4.6283932220172196E-7</v>
      </c>
      <c r="H23">
        <f t="shared" si="20"/>
        <v>-8.5805288572737164E-6</v>
      </c>
      <c r="I23">
        <f t="shared" si="20"/>
        <v>-6.6104297166758624E-5</v>
      </c>
      <c r="J23">
        <f t="shared" si="20"/>
        <v>-3.1079770772092513E-4</v>
      </c>
      <c r="K23">
        <f t="shared" si="20"/>
        <v>-9.5340257825226747E-4</v>
      </c>
      <c r="L23">
        <f t="shared" si="20"/>
        <v>-2.0127266518573418E-3</v>
      </c>
      <c r="M23">
        <f t="shared" si="20"/>
        <v>-2.6058526309890944E-3</v>
      </c>
      <c r="N23">
        <f t="shared" si="20"/>
        <v>-1.7112005417335835E-3</v>
      </c>
      <c r="O23">
        <f t="shared" si="20"/>
        <v>-5.5663789453800662E-4</v>
      </c>
      <c r="P23">
        <f t="shared" si="20"/>
        <v>-1.1812828741417002E-4</v>
      </c>
      <c r="Q23">
        <f t="shared" si="20"/>
        <v>-2.0522307527591081E-5</v>
      </c>
      <c r="R23">
        <f t="shared" si="20"/>
        <v>-3.2214359144862357E-6</v>
      </c>
      <c r="S23">
        <f t="shared" si="20"/>
        <v>-4.7589404421355221E-7</v>
      </c>
      <c r="T23">
        <f t="shared" si="20"/>
        <v>-6.7463652325949206E-8</v>
      </c>
      <c r="U23">
        <f t="shared" si="20"/>
        <v>-9.2793279818267909E-9</v>
      </c>
      <c r="V23">
        <f t="shared" si="20"/>
        <v>-1.2471405936589497E-9</v>
      </c>
      <c r="W23">
        <f t="shared" si="20"/>
        <v>-1.6458391769637145E-10</v>
      </c>
      <c r="X23">
        <f t="shared" si="20"/>
        <v>-2.140295364423941E-11</v>
      </c>
      <c r="Y23">
        <f t="shared" si="20"/>
        <v>-2.7499954794601001E-12</v>
      </c>
      <c r="Z23">
        <f t="shared" si="20"/>
        <v>-3.9970396125699964E-13</v>
      </c>
    </row>
    <row r="24" spans="1:26">
      <c r="A24" t="s">
        <v>43</v>
      </c>
      <c r="B24">
        <f>SUM(G22:Z22)</f>
        <v>-0.12460266346145629</v>
      </c>
      <c r="C24">
        <f>SUM(G23:Z23)</f>
        <v>-8.3681917745953849E-3</v>
      </c>
      <c r="F24" s="4" t="s">
        <v>62</v>
      </c>
      <c r="G24" s="4">
        <f t="shared" ref="G24:Z24" si="21">G20*G11+2*G18*wa*G6^2*sa/za - 2*G18*wa*G6^2*oa/za^2-lz*wa*G6^3*sa/za -2*lz*wa*G6^3*sa/za^2+2*lz*wa*G6^3*oa/za^3</f>
        <v>2.6814326185270206E-13</v>
      </c>
      <c r="H24" s="4">
        <f t="shared" si="21"/>
        <v>2.6987904832059283E-9</v>
      </c>
      <c r="I24" s="4">
        <f t="shared" si="21"/>
        <v>7.4890161288640954E-6</v>
      </c>
      <c r="J24" s="4">
        <f t="shared" si="21"/>
        <v>2.8871575818465722E-3</v>
      </c>
      <c r="K24" s="4">
        <f t="shared" si="21"/>
        <v>3.4230165123333767E-2</v>
      </c>
      <c r="L24" s="4">
        <f t="shared" si="21"/>
        <v>5.5183364028220216E-2</v>
      </c>
      <c r="M24" s="4">
        <f t="shared" si="21"/>
        <v>3.3999977021435618E-2</v>
      </c>
      <c r="N24" s="4">
        <f t="shared" si="21"/>
        <v>1.0918368865832619E-2</v>
      </c>
      <c r="O24" s="4">
        <f t="shared" si="21"/>
        <v>2.2554795544643411E-3</v>
      </c>
      <c r="P24" s="4">
        <f t="shared" si="21"/>
        <v>3.7581007379822244E-4</v>
      </c>
      <c r="Q24" s="4">
        <f t="shared" si="21"/>
        <v>5.6902086661022588E-5</v>
      </c>
      <c r="R24" s="4">
        <f t="shared" si="21"/>
        <v>8.1820171090126241E-6</v>
      </c>
      <c r="S24" s="4">
        <f t="shared" si="21"/>
        <v>1.1369279336132269E-6</v>
      </c>
      <c r="T24" s="4">
        <f t="shared" si="21"/>
        <v>1.5401592606434416E-7</v>
      </c>
      <c r="U24" s="4">
        <f t="shared" si="21"/>
        <v>2.0452560008755376E-8</v>
      </c>
      <c r="V24" s="4">
        <f t="shared" si="21"/>
        <v>2.6728014266071728E-9</v>
      </c>
      <c r="W24" s="4">
        <f t="shared" si="21"/>
        <v>3.4473680755020189E-10</v>
      </c>
      <c r="X24" s="4">
        <f t="shared" si="21"/>
        <v>4.3983362339704733E-11</v>
      </c>
      <c r="Y24" s="4">
        <f t="shared" si="21"/>
        <v>5.5608269196401189E-12</v>
      </c>
      <c r="Z24" s="4">
        <f t="shared" si="21"/>
        <v>7.7413149763290354E-13</v>
      </c>
    </row>
    <row r="25" spans="1:26">
      <c r="A25" t="s">
        <v>56</v>
      </c>
      <c r="B25">
        <f>SUM(G24:Z24)</f>
        <v>0.13992421253216508</v>
      </c>
      <c r="C25">
        <f>SUM(G25:Z25)</f>
        <v>3.0013666959295411E-3</v>
      </c>
      <c r="F25" s="4" t="s">
        <v>63</v>
      </c>
      <c r="G25" s="4">
        <f t="shared" ref="G25:Z25" si="22">G21*G12+2*G19*wa*G7^2*sa/za - 2*G19*wa*G7^2*oa/za^2-lz*wa*G7^3*sa/za -2*lz*wa*G7^3*sa/za^2+2*lz*wa*G7^3*oa/za^3</f>
        <v>1.0786832802081318E-14</v>
      </c>
      <c r="H25" s="4">
        <f t="shared" si="22"/>
        <v>6.6897927703574802E-12</v>
      </c>
      <c r="I25" s="4">
        <f t="shared" si="22"/>
        <v>9.786185248566823E-10</v>
      </c>
      <c r="J25" s="4">
        <f t="shared" si="22"/>
        <v>7.9487565718125902E-8</v>
      </c>
      <c r="K25" s="4">
        <f t="shared" si="22"/>
        <v>3.8625604091185329E-6</v>
      </c>
      <c r="L25" s="4">
        <f t="shared" si="22"/>
        <v>9.9662382857880526E-5</v>
      </c>
      <c r="M25" s="4">
        <f t="shared" si="22"/>
        <v>7.9394404252689454E-4</v>
      </c>
      <c r="N25" s="4">
        <f t="shared" si="22"/>
        <v>1.3032660066830282E-3</v>
      </c>
      <c r="O25" s="4">
        <f t="shared" si="22"/>
        <v>6.146713794523E-4</v>
      </c>
      <c r="P25" s="4">
        <f t="shared" si="22"/>
        <v>1.5199425830525188E-4</v>
      </c>
      <c r="Q25" s="4">
        <f t="shared" si="22"/>
        <v>2.8414420574108437E-5</v>
      </c>
      <c r="R25" s="4">
        <f t="shared" si="22"/>
        <v>4.6481347343320136E-6</v>
      </c>
      <c r="S25" s="4">
        <f t="shared" si="22"/>
        <v>7.048846006101595E-7</v>
      </c>
      <c r="T25" s="4">
        <f t="shared" si="22"/>
        <v>1.0175068053131571E-7</v>
      </c>
      <c r="U25" s="4">
        <f t="shared" si="22"/>
        <v>1.4182121205747724E-8</v>
      </c>
      <c r="V25" s="4">
        <f t="shared" si="22"/>
        <v>1.9254866202672376E-9</v>
      </c>
      <c r="W25" s="4">
        <f t="shared" si="22"/>
        <v>2.5614497536568258E-10</v>
      </c>
      <c r="X25" s="4">
        <f t="shared" si="22"/>
        <v>3.3526153358710978E-11</v>
      </c>
      <c r="Y25" s="4">
        <f t="shared" si="22"/>
        <v>4.3307643992493051E-12</v>
      </c>
      <c r="Z25" s="4">
        <f t="shared" si="22"/>
        <v>6.1094359014128208E-13</v>
      </c>
    </row>
    <row r="26" spans="1:26">
      <c r="A26" t="s">
        <v>46</v>
      </c>
      <c r="B26">
        <f>ro/(reck-1)*phie/phif^2*dphif</f>
        <v>-0.55669204744417611</v>
      </c>
      <c r="C26">
        <f>ro/(reck-1)*phie/phif^2*dphif</f>
        <v>-4.8116897043665521E-2</v>
      </c>
      <c r="G26">
        <f>G20*G11+2*G18*wa*G6^2*sa/za-2*G18*wa*G6^2*oa/za^2-lz*wa*G6^3*sa/za-2*lz*wa*G6^3*sa/za^2+2*lz*wa*G6^3*oa/za^3</f>
        <v>2.6814326185270206E-13</v>
      </c>
    </row>
    <row r="27" spans="1:26">
      <c r="A27" t="s">
        <v>57</v>
      </c>
      <c r="B27">
        <f>-2*ro*phie*dphif^2/(phif^3*(reck-1)) + ro*phie*ddphif/(phif^2*(reck-1))</f>
        <v>-1.0194929235055623</v>
      </c>
      <c r="C27">
        <f>-2*ro*phie*dphif^2/(phif^3*(reck-1)) + ro*phie*ddphif/(phif^2*(reck-1))</f>
        <v>7.6017317650534273E-4</v>
      </c>
      <c r="G27">
        <f t="shared" ref="G27:Z27" si="23">(G15-2*G14+G16)/dh^2</f>
        <v>0</v>
      </c>
      <c r="H27">
        <f t="shared" si="23"/>
        <v>0</v>
      </c>
      <c r="I27">
        <f t="shared" si="23"/>
        <v>0</v>
      </c>
      <c r="J27">
        <f t="shared" si="23"/>
        <v>2.6090241078691179E-3</v>
      </c>
      <c r="K27">
        <f t="shared" si="23"/>
        <v>7.6161299489285739E-2</v>
      </c>
      <c r="L27">
        <f t="shared" si="23"/>
        <v>0.22763735341158053</v>
      </c>
      <c r="M27">
        <f t="shared" si="23"/>
        <v>0.22361973384121825</v>
      </c>
      <c r="N27">
        <f t="shared" si="23"/>
        <v>0.10177275688860732</v>
      </c>
      <c r="O27">
        <f t="shared" si="23"/>
        <v>2.5503254022507527E-2</v>
      </c>
      <c r="P27">
        <f t="shared" si="23"/>
        <v>4.7598914827001737E-3</v>
      </c>
      <c r="Q27">
        <f t="shared" si="23"/>
        <v>7.8485734079404568E-4</v>
      </c>
      <c r="R27">
        <f t="shared" si="23"/>
        <v>1.2160767320435265E-4</v>
      </c>
      <c r="S27">
        <f t="shared" si="23"/>
        <v>1.8115652461605332E-5</v>
      </c>
      <c r="T27">
        <f t="shared" si="23"/>
        <v>2.6222518772992535E-6</v>
      </c>
      <c r="U27">
        <f t="shared" si="23"/>
        <v>3.7112947107294182E-7</v>
      </c>
      <c r="V27">
        <f t="shared" si="23"/>
        <v>5.1575434975717259E-8</v>
      </c>
      <c r="W27">
        <f t="shared" si="23"/>
        <v>7.0593209062409274E-9</v>
      </c>
      <c r="X27">
        <f t="shared" si="23"/>
        <v>9.539048439548649E-10</v>
      </c>
      <c r="Y27">
        <f t="shared" si="23"/>
        <v>1.2748719242581802E-10</v>
      </c>
      <c r="Z27">
        <f t="shared" si="23"/>
        <v>1.9423939053526962E-11</v>
      </c>
    </row>
    <row r="28" spans="1:26">
      <c r="F28" t="s">
        <v>30</v>
      </c>
      <c r="G28" t="s">
        <v>50</v>
      </c>
      <c r="H28" t="s">
        <v>55</v>
      </c>
    </row>
    <row r="29" spans="1:26">
      <c r="A29" t="s">
        <v>50</v>
      </c>
      <c r="B29">
        <f>f*re*phiq</f>
        <v>2.9078490128491331E-2</v>
      </c>
      <c r="C29">
        <f>f*re*phiq</f>
        <v>1.1789752233482066E-2</v>
      </c>
      <c r="F29">
        <v>0</v>
      </c>
      <c r="G29">
        <f>B29</f>
        <v>2.9078490128491331E-2</v>
      </c>
      <c r="H29">
        <f>B30</f>
        <v>0</v>
      </c>
    </row>
    <row r="30" spans="1:26">
      <c r="A30" t="s">
        <v>53</v>
      </c>
      <c r="B30">
        <f>re*phiq+f*phiq*dre+f*re*dphiq</f>
        <v>0</v>
      </c>
      <c r="C30">
        <f>re*phiq+f*phiq*dre+f*re*dphiq</f>
        <v>0</v>
      </c>
      <c r="F30">
        <v>0.2</v>
      </c>
      <c r="G30">
        <f t="dataTable" ref="G30:H56" dt2D="0" dtr="0" r1="B6"/>
        <v>2.1497209498545958E-2</v>
      </c>
      <c r="H30">
        <v>6.1815772179900731E-2</v>
      </c>
      <c r="Z30" s="4">
        <f>Y30*EXP(-Y$8)/oa+Y$14*(Y16)^2*Y$9/oa + 2*Y$14*Y16*Y$9*Z16*sa/oa^2 + 2*Y$14*Y$9*Z16^2*sa/oa^3 + Y$14*Y$9*Z16^2*sa/oa^2</f>
        <v>3.0431042969907477E-38</v>
      </c>
    </row>
    <row r="31" spans="1:26">
      <c r="A31" t="s">
        <v>52</v>
      </c>
      <c r="F31">
        <v>0.20499999999999999</v>
      </c>
      <c r="G31">
        <v>2.1809506577196148E-2</v>
      </c>
      <c r="H31">
        <v>6.0078963527291293E-2</v>
      </c>
    </row>
    <row r="32" spans="1:26">
      <c r="F32">
        <v>0.21</v>
      </c>
      <c r="G32">
        <v>2.2113338557479992E-2</v>
      </c>
      <c r="H32">
        <v>5.8371559188492746E-2</v>
      </c>
    </row>
    <row r="33" spans="1:8">
      <c r="F33">
        <v>0.215</v>
      </c>
      <c r="G33">
        <v>2.2408849143681922E-2</v>
      </c>
      <c r="H33">
        <v>5.6692999918377875E-2</v>
      </c>
    </row>
    <row r="34" spans="1:8">
      <c r="F34">
        <v>0.22</v>
      </c>
      <c r="G34">
        <v>2.2696179279148226E-2</v>
      </c>
      <c r="H34">
        <v>5.5042737924632885E-2</v>
      </c>
    </row>
    <row r="35" spans="1:8">
      <c r="F35">
        <v>0.22500000000000001</v>
      </c>
      <c r="G35">
        <v>2.2975467202877353E-2</v>
      </c>
      <c r="H35">
        <v>5.342023661487872E-2</v>
      </c>
    </row>
    <row r="36" spans="1:8">
      <c r="F36">
        <v>0.23</v>
      </c>
      <c r="G36">
        <v>2.3246848504861001E-2</v>
      </c>
      <c r="H36">
        <v>5.1824970349791964E-2</v>
      </c>
    </row>
    <row r="37" spans="1:8">
      <c r="F37">
        <v>0.23499999999999999</v>
      </c>
      <c r="G37">
        <v>2.351045618020586E-2</v>
      </c>
      <c r="H37">
        <v>5.0256424202073345E-2</v>
      </c>
    </row>
    <row r="38" spans="1:8">
      <c r="F38">
        <v>0.24</v>
      </c>
      <c r="G38">
        <v>2.3766420682064787E-2</v>
      </c>
      <c r="H38">
        <v>4.8714093721114939E-2</v>
      </c>
    </row>
    <row r="39" spans="1:8">
      <c r="F39">
        <v>0.245</v>
      </c>
      <c r="G39">
        <v>2.4014869973405361E-2</v>
      </c>
      <c r="H39">
        <v>4.7197484703221007E-2</v>
      </c>
    </row>
    <row r="40" spans="1:8">
      <c r="A40" t="s">
        <v>9</v>
      </c>
      <c r="B40">
        <f>2*dre*phiq+2*re*dphiq+f*ddre*phiq+2*f*dre*dphiq+f*re*ddphiq</f>
        <v>-0.20794417390065653</v>
      </c>
      <c r="C40">
        <f>f*B27*phiq+2*f*B26*B24+f*re*B25</f>
        <v>0.30179431353546454</v>
      </c>
      <c r="F40">
        <v>0.25</v>
      </c>
      <c r="G40">
        <v>2.4255929577643526E-2</v>
      </c>
      <c r="H40">
        <v>4.5706112967242737E-2</v>
      </c>
    </row>
    <row r="41" spans="1:8">
      <c r="B41">
        <f>f*C27*phiq+2*f*C26*C24+f*re*C25</f>
        <v>1.319209992322825E-3</v>
      </c>
      <c r="C41">
        <f>2*dre*phiq+2*re*dphiq+f*ddre*phiq+2*f*dre*dphiq+f*re*ddphiq</f>
        <v>-8.3249257805594716E-3</v>
      </c>
      <c r="F41">
        <v>0.255</v>
      </c>
      <c r="G41">
        <v>2.4489722628168748E-2</v>
      </c>
      <c r="H41">
        <v>4.4239504135489084E-2</v>
      </c>
    </row>
    <row r="42" spans="1:8">
      <c r="A42" t="s">
        <v>10</v>
      </c>
      <c r="B42">
        <f t="array" ref="B42:C43">-MINVERSE(B40:C41)</f>
        <v>6.2453037181156672</v>
      </c>
      <c r="C42">
        <v>226.40407831990734</v>
      </c>
      <c r="F42">
        <v>0.26</v>
      </c>
      <c r="G42">
        <v>2.471636991678711E-2</v>
      </c>
      <c r="H42">
        <v>4.2797193419782067E-2</v>
      </c>
    </row>
    <row r="43" spans="1:8">
      <c r="B43">
        <v>0.98966252519255404</v>
      </c>
      <c r="C43">
        <v>155.99833039412209</v>
      </c>
      <c r="F43">
        <v>0.26500000000000001</v>
      </c>
      <c r="G43">
        <v>2.4935989941107104E-2</v>
      </c>
      <c r="H43">
        <v>4.1378725412524582E-2</v>
      </c>
    </row>
    <row r="44" spans="1:8">
      <c r="F44">
        <v>0.27</v>
      </c>
      <c r="G44">
        <v>2.5148698950893771E-2</v>
      </c>
      <c r="H44">
        <v>3.9983653882658045E-2</v>
      </c>
    </row>
    <row r="45" spans="1:8">
      <c r="A45" t="s">
        <v>65</v>
      </c>
      <c r="B45">
        <f t="array" ref="B45:C45">MMULT(B30:C30,B42:C43)</f>
        <v>0</v>
      </c>
      <c r="C45">
        <v>0</v>
      </c>
      <c r="F45">
        <v>0.27500000000000002</v>
      </c>
      <c r="G45">
        <v>2.5354610993414298E-2</v>
      </c>
      <c r="H45">
        <v>3.861154157638353E-2</v>
      </c>
    </row>
    <row r="46" spans="1:8">
      <c r="A46" s="5" t="s">
        <v>54</v>
      </c>
      <c r="B46" s="5">
        <f>f+dta</f>
        <v>0.46452175642663507</v>
      </c>
      <c r="C46" s="5">
        <f>f+dta</f>
        <v>1.3909420462577307</v>
      </c>
      <c r="F46">
        <v>0.28000000000000003</v>
      </c>
      <c r="G46">
        <v>2.5553837957799475E-2</v>
      </c>
      <c r="H46">
        <v>3.7261960022530419E-2</v>
      </c>
    </row>
    <row r="47" spans="1:8">
      <c r="F47">
        <v>0.28499999999999998</v>
      </c>
      <c r="G47">
        <v>2.5746489618443367E-2</v>
      </c>
      <c r="H47">
        <v>3.5934489342453801E-2</v>
      </c>
    </row>
    <row r="48" spans="1:8">
      <c r="F48">
        <v>0.28999999999999998</v>
      </c>
      <c r="G48">
        <v>2.5932673677463873E-2</v>
      </c>
      <c r="H48">
        <v>3.462871806434964E-2</v>
      </c>
    </row>
    <row r="49" spans="6:8">
      <c r="F49">
        <v>0.29499999999999998</v>
      </c>
      <c r="G49">
        <v>2.6112495806245802E-2</v>
      </c>
      <c r="H49">
        <v>3.334424294187608E-2</v>
      </c>
    </row>
    <row r="50" spans="6:8">
      <c r="F50">
        <v>0.29999999999999899</v>
      </c>
      <c r="G50">
        <v>2.6286059686087795E-2</v>
      </c>
      <c r="H50">
        <v>3.2080668776975178E-2</v>
      </c>
    </row>
    <row r="51" spans="6:8">
      <c r="F51">
        <v>0.30499999999999999</v>
      </c>
      <c r="G51">
        <v>2.6453467047974064E-2</v>
      </c>
      <c r="H51">
        <v>3.0837608246788474E-2</v>
      </c>
    </row>
    <row r="52" spans="6:8">
      <c r="F52">
        <v>0.309999999999999</v>
      </c>
      <c r="G52">
        <v>2.6614817711490338E-2</v>
      </c>
      <c r="H52">
        <v>2.9614681734570839E-2</v>
      </c>
    </row>
    <row r="53" spans="6:8">
      <c r="F53">
        <v>0.314999999999999</v>
      </c>
      <c r="G53">
        <v>2.6770209622905165E-2</v>
      </c>
      <c r="H53">
        <v>2.8411517164493111E-2</v>
      </c>
    </row>
    <row r="54" spans="6:8">
      <c r="F54">
        <v>0.31999999999999901</v>
      </c>
      <c r="G54">
        <v>2.6919738892434181E-2</v>
      </c>
      <c r="H54">
        <v>2.7227749840250497E-2</v>
      </c>
    </row>
    <row r="55" spans="6:8">
      <c r="F55">
        <v>0.32499999999999901</v>
      </c>
      <c r="G55">
        <v>2.706349983070741E-2</v>
      </c>
      <c r="H55">
        <v>2.6063022287372214E-2</v>
      </c>
    </row>
    <row r="56" spans="6:8">
      <c r="F56">
        <v>0.32999999999999902</v>
      </c>
      <c r="G56">
        <v>2.7201584984457038E-2</v>
      </c>
      <c r="H56">
        <v>2.4916984099147048E-2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workbookViewId="0">
      <pane xSplit="6" topLeftCell="H1" activePane="topRight" state="frozen"/>
      <selection activeCell="A13" sqref="A13"/>
      <selection pane="topRight" activeCell="B36" sqref="B36"/>
    </sheetView>
  </sheetViews>
  <sheetFormatPr baseColWidth="10" defaultRowHeight="15" x14ac:dyDescent="0"/>
  <cols>
    <col min="7" max="7" width="12.1640625" customWidth="1"/>
    <col min="8" max="8" width="7.1640625" customWidth="1"/>
    <col min="9" max="23" width="7.33203125" customWidth="1"/>
    <col min="24" max="24" width="6.83203125" customWidth="1"/>
    <col min="25" max="25" width="12.5" customWidth="1"/>
    <col min="26" max="26" width="10.6640625" customWidth="1"/>
  </cols>
  <sheetData>
    <row r="1" spans="1:26">
      <c r="A1" t="s">
        <v>15</v>
      </c>
      <c r="B1">
        <v>1</v>
      </c>
      <c r="F1" t="s">
        <v>19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</row>
    <row r="2" spans="1:26">
      <c r="A2" t="s">
        <v>16</v>
      </c>
      <c r="B2">
        <v>0.75</v>
      </c>
      <c r="F2" t="s">
        <v>20</v>
      </c>
      <c r="G2">
        <f t="shared" ref="G2:Z2" si="0">(1-EXP(-vbk*G1))^3</f>
        <v>5.956242778945897E-3</v>
      </c>
      <c r="H2">
        <f t="shared" si="0"/>
        <v>3.5832542332544771E-2</v>
      </c>
      <c r="I2">
        <f t="shared" si="0"/>
        <v>9.1848839232940488E-2</v>
      </c>
      <c r="J2">
        <f t="shared" si="0"/>
        <v>0.16698470834288895</v>
      </c>
      <c r="K2">
        <f t="shared" si="0"/>
        <v>0.25258045782764715</v>
      </c>
      <c r="L2">
        <f t="shared" si="0"/>
        <v>0.34124750168433882</v>
      </c>
      <c r="M2">
        <f t="shared" si="0"/>
        <v>0.42764371923035677</v>
      </c>
      <c r="N2">
        <f t="shared" si="0"/>
        <v>0.50836731090211251</v>
      </c>
      <c r="O2">
        <f t="shared" si="0"/>
        <v>0.58155792173450538</v>
      </c>
      <c r="P2">
        <f t="shared" si="0"/>
        <v>0.64646231477969807</v>
      </c>
      <c r="Q2">
        <f t="shared" si="0"/>
        <v>0.70306217658465575</v>
      </c>
      <c r="R2">
        <f t="shared" si="0"/>
        <v>0.75178879547044597</v>
      </c>
      <c r="S2">
        <f t="shared" si="0"/>
        <v>0.79331922364030083</v>
      </c>
      <c r="T2">
        <f t="shared" si="0"/>
        <v>0.82843853594961614</v>
      </c>
      <c r="U2">
        <f t="shared" si="0"/>
        <v>0.85795164162232052</v>
      </c>
      <c r="V2">
        <f t="shared" si="0"/>
        <v>0.88263033114793243</v>
      </c>
      <c r="W2">
        <f t="shared" si="0"/>
        <v>0.90318434524387203</v>
      </c>
      <c r="X2">
        <f t="shared" si="0"/>
        <v>0.92024819057984131</v>
      </c>
      <c r="Y2">
        <f t="shared" si="0"/>
        <v>0.93437784324698259</v>
      </c>
      <c r="Z2">
        <f t="shared" si="0"/>
        <v>0.94605332700515155</v>
      </c>
    </row>
    <row r="3" spans="1:26">
      <c r="A3" t="s">
        <v>17</v>
      </c>
      <c r="B3">
        <f>1.5*vbk</f>
        <v>0.30000000000000004</v>
      </c>
      <c r="F3" t="s">
        <v>21</v>
      </c>
      <c r="G3">
        <f>IF(G2&gt;0.2,G2,0)</f>
        <v>0</v>
      </c>
      <c r="H3">
        <f t="shared" ref="H3:Z3" si="1">IF(H2&gt;0.2,H2,0)</f>
        <v>0</v>
      </c>
      <c r="I3">
        <f t="shared" si="1"/>
        <v>0</v>
      </c>
      <c r="J3">
        <f t="shared" si="1"/>
        <v>0</v>
      </c>
      <c r="K3">
        <f t="shared" si="1"/>
        <v>0.25258045782764715</v>
      </c>
      <c r="L3">
        <f t="shared" si="1"/>
        <v>0.34124750168433882</v>
      </c>
      <c r="M3">
        <f t="shared" si="1"/>
        <v>0.42764371923035677</v>
      </c>
      <c r="N3">
        <f t="shared" si="1"/>
        <v>0.50836731090211251</v>
      </c>
      <c r="O3">
        <f t="shared" si="1"/>
        <v>0.58155792173450538</v>
      </c>
      <c r="P3">
        <f t="shared" si="1"/>
        <v>0.64646231477969807</v>
      </c>
      <c r="Q3">
        <f t="shared" si="1"/>
        <v>0.70306217658465575</v>
      </c>
      <c r="R3">
        <f t="shared" si="1"/>
        <v>0.75178879547044597</v>
      </c>
      <c r="S3">
        <f t="shared" si="1"/>
        <v>0.79331922364030083</v>
      </c>
      <c r="T3">
        <f t="shared" si="1"/>
        <v>0.82843853594961614</v>
      </c>
      <c r="U3">
        <f t="shared" si="1"/>
        <v>0.85795164162232052</v>
      </c>
      <c r="V3">
        <f t="shared" si="1"/>
        <v>0.88263033114793243</v>
      </c>
      <c r="W3">
        <f t="shared" si="1"/>
        <v>0.90318434524387203</v>
      </c>
      <c r="X3">
        <f t="shared" si="1"/>
        <v>0.92024819057984131</v>
      </c>
      <c r="Y3">
        <f t="shared" si="1"/>
        <v>0.93437784324698259</v>
      </c>
      <c r="Z3">
        <f t="shared" si="1"/>
        <v>0.94605332700515155</v>
      </c>
    </row>
    <row r="4" spans="1:26">
      <c r="A4" t="s">
        <v>18</v>
      </c>
      <c r="B4">
        <v>0.2</v>
      </c>
      <c r="F4" t="s">
        <v>22</v>
      </c>
      <c r="G4">
        <f t="shared" ref="G4:Y4" si="2">EXP(-m)^(G1-1)</f>
        <v>1</v>
      </c>
      <c r="H4">
        <f t="shared" si="2"/>
        <v>0.74081822068171788</v>
      </c>
      <c r="I4">
        <f t="shared" si="2"/>
        <v>0.5488116360940265</v>
      </c>
      <c r="J4">
        <f t="shared" si="2"/>
        <v>0.40656965974059917</v>
      </c>
      <c r="K4">
        <f t="shared" si="2"/>
        <v>0.30119421191220219</v>
      </c>
      <c r="L4">
        <f t="shared" si="2"/>
        <v>0.2231301601484299</v>
      </c>
      <c r="M4">
        <f t="shared" si="2"/>
        <v>0.16529888822158662</v>
      </c>
      <c r="N4">
        <f t="shared" si="2"/>
        <v>0.12245642825298196</v>
      </c>
      <c r="O4">
        <f t="shared" si="2"/>
        <v>9.0717953289412567E-2</v>
      </c>
      <c r="P4">
        <f t="shared" si="2"/>
        <v>6.7205512739749812E-2</v>
      </c>
      <c r="Q4">
        <f t="shared" si="2"/>
        <v>4.9787068367863986E-2</v>
      </c>
      <c r="R4">
        <f t="shared" si="2"/>
        <v>3.6883167401240036E-2</v>
      </c>
      <c r="S4">
        <f t="shared" si="2"/>
        <v>2.732372244729259E-2</v>
      </c>
      <c r="T4">
        <f t="shared" si="2"/>
        <v>2.0241911445804409E-2</v>
      </c>
      <c r="U4">
        <f t="shared" si="2"/>
        <v>1.4995576820477724E-2</v>
      </c>
      <c r="V4">
        <f t="shared" si="2"/>
        <v>1.1108996538242318E-2</v>
      </c>
      <c r="W4">
        <f t="shared" si="2"/>
        <v>8.2297470490200406E-3</v>
      </c>
      <c r="X4">
        <f t="shared" si="2"/>
        <v>6.0967465655156448E-3</v>
      </c>
      <c r="Y4">
        <f t="shared" si="2"/>
        <v>4.5165809426126746E-3</v>
      </c>
      <c r="Z4">
        <f>EXP(-m)^(Z1-1)/(1-EXP(-m))</f>
        <v>1.2909724851307328E-2</v>
      </c>
    </row>
    <row r="5" spans="1:26">
      <c r="B5" t="s">
        <v>30</v>
      </c>
      <c r="C5" t="s">
        <v>32</v>
      </c>
      <c r="D5" t="s">
        <v>67</v>
      </c>
      <c r="E5" t="s">
        <v>42</v>
      </c>
      <c r="G5">
        <f>0.5/(1+EXP(-(G1-15)/0.5))</f>
        <v>3.4572000534677115E-13</v>
      </c>
      <c r="H5">
        <f t="shared" ref="H5:Z5" si="3">0.5/(1+EXP(-(H1-15)/0.5))</f>
        <v>2.5545445140186106E-12</v>
      </c>
      <c r="I5">
        <f t="shared" si="3"/>
        <v>1.8875672720682908E-11</v>
      </c>
      <c r="J5">
        <f t="shared" si="3"/>
        <v>1.3947340460454057E-10</v>
      </c>
      <c r="K5">
        <f t="shared" si="3"/>
        <v>1.0305768090951019E-9</v>
      </c>
      <c r="L5">
        <f t="shared" si="3"/>
        <v>7.6149897563801747E-9</v>
      </c>
      <c r="M5">
        <f t="shared" si="3"/>
        <v>5.6267581027547497E-8</v>
      </c>
      <c r="N5">
        <f t="shared" si="3"/>
        <v>4.1576401383206604E-7</v>
      </c>
      <c r="O5">
        <f t="shared" si="3"/>
        <v>3.0720873011073591E-6</v>
      </c>
      <c r="P5">
        <f t="shared" si="3"/>
        <v>2.2698934351217197E-5</v>
      </c>
      <c r="Q5">
        <f t="shared" si="3"/>
        <v>1.6767506523323905E-4</v>
      </c>
      <c r="R5">
        <f t="shared" si="3"/>
        <v>1.2363115783173872E-3</v>
      </c>
      <c r="S5">
        <f t="shared" si="3"/>
        <v>8.9931049810457794E-3</v>
      </c>
      <c r="T5">
        <f t="shared" si="3"/>
        <v>5.9601461011058773E-2</v>
      </c>
      <c r="U5">
        <f t="shared" si="3"/>
        <v>0.25</v>
      </c>
      <c r="V5">
        <f t="shared" si="3"/>
        <v>0.44039853898894116</v>
      </c>
      <c r="W5">
        <f t="shared" si="3"/>
        <v>0.49100689501895423</v>
      </c>
      <c r="X5">
        <f t="shared" si="3"/>
        <v>0.49876368842168267</v>
      </c>
      <c r="Y5">
        <f t="shared" si="3"/>
        <v>0.49983232493476681</v>
      </c>
      <c r="Z5">
        <f t="shared" si="3"/>
        <v>0.4999773010656488</v>
      </c>
    </row>
    <row r="6" spans="1:26">
      <c r="A6" t="s">
        <v>27</v>
      </c>
      <c r="B6" s="11">
        <v>0.22198504671239971</v>
      </c>
      <c r="C6">
        <f>B6+dh</f>
        <v>0.22198604671239971</v>
      </c>
      <c r="D6">
        <f>B6-dh</f>
        <v>0.22198404671239971</v>
      </c>
      <c r="E6">
        <v>4</v>
      </c>
      <c r="F6" t="s">
        <v>24</v>
      </c>
      <c r="G6">
        <f t="shared" ref="G6:Z6" si="4">1/(1+EXP(-(G1-ah)/(0.1*ah)))</f>
        <v>5.5277863692359955E-4</v>
      </c>
      <c r="H6">
        <f t="shared" si="4"/>
        <v>6.6928509242848554E-3</v>
      </c>
      <c r="I6">
        <f t="shared" si="4"/>
        <v>7.5858180021243546E-2</v>
      </c>
      <c r="J6">
        <f t="shared" si="4"/>
        <v>0.5</v>
      </c>
      <c r="K6">
        <f t="shared" si="4"/>
        <v>0.92414181997875655</v>
      </c>
      <c r="L6">
        <f t="shared" si="4"/>
        <v>0.99330714907571527</v>
      </c>
      <c r="M6">
        <f t="shared" si="4"/>
        <v>0.9994472213630764</v>
      </c>
      <c r="N6">
        <f t="shared" si="4"/>
        <v>0.99995460213129761</v>
      </c>
      <c r="O6">
        <f t="shared" si="4"/>
        <v>0.99999627336071584</v>
      </c>
      <c r="P6">
        <f t="shared" si="4"/>
        <v>0.99999969409777301</v>
      </c>
      <c r="Q6">
        <f t="shared" si="4"/>
        <v>0.99999997489000902</v>
      </c>
      <c r="R6">
        <f t="shared" si="4"/>
        <v>0.99999999793884631</v>
      </c>
      <c r="S6">
        <f t="shared" si="4"/>
        <v>0.99999999983081023</v>
      </c>
      <c r="T6">
        <f t="shared" si="4"/>
        <v>0.999999999986112</v>
      </c>
      <c r="U6">
        <f t="shared" si="4"/>
        <v>0.99999999999886002</v>
      </c>
      <c r="V6">
        <f t="shared" si="4"/>
        <v>0.99999999999990652</v>
      </c>
      <c r="W6">
        <f t="shared" si="4"/>
        <v>0.99999999999999223</v>
      </c>
      <c r="X6">
        <f t="shared" si="4"/>
        <v>0.99999999999999933</v>
      </c>
      <c r="Y6">
        <f t="shared" si="4"/>
        <v>1</v>
      </c>
      <c r="Z6">
        <f t="shared" si="4"/>
        <v>1</v>
      </c>
    </row>
    <row r="7" spans="1:26">
      <c r="A7" t="s">
        <v>28</v>
      </c>
      <c r="B7" s="11">
        <v>0.22198504671239971</v>
      </c>
      <c r="C7">
        <f>B7</f>
        <v>0.22198504671239971</v>
      </c>
      <c r="D7">
        <f>C7</f>
        <v>0.22198504671239971</v>
      </c>
      <c r="E7">
        <v>7</v>
      </c>
      <c r="G7">
        <f t="shared" ref="G7:Z7" si="5">1/(1+EXP(-(G1-ah)/(0.1*ah)))</f>
        <v>1.8940594382518605E-4</v>
      </c>
      <c r="H7">
        <f t="shared" si="5"/>
        <v>7.898659417364622E-4</v>
      </c>
      <c r="I7">
        <f t="shared" si="5"/>
        <v>3.2876613859340125E-3</v>
      </c>
      <c r="J7">
        <f t="shared" si="5"/>
        <v>1.3576916943744367E-2</v>
      </c>
      <c r="K7">
        <f t="shared" si="5"/>
        <v>5.431326613264064E-2</v>
      </c>
      <c r="L7">
        <f t="shared" si="5"/>
        <v>0.19332136980230874</v>
      </c>
      <c r="M7">
        <f t="shared" si="5"/>
        <v>0.5</v>
      </c>
      <c r="N7">
        <f t="shared" si="5"/>
        <v>0.80667863019769126</v>
      </c>
      <c r="O7">
        <f t="shared" si="5"/>
        <v>0.94568673386735935</v>
      </c>
      <c r="P7">
        <f t="shared" si="5"/>
        <v>0.98642308305625559</v>
      </c>
      <c r="Q7">
        <f t="shared" si="5"/>
        <v>0.99671233861406594</v>
      </c>
      <c r="R7">
        <f t="shared" si="5"/>
        <v>0.99921013405826353</v>
      </c>
      <c r="S7">
        <f t="shared" si="5"/>
        <v>0.99981059405617489</v>
      </c>
      <c r="T7">
        <f t="shared" si="5"/>
        <v>0.99995460213129761</v>
      </c>
      <c r="U7">
        <f t="shared" si="5"/>
        <v>0.99998911997815432</v>
      </c>
      <c r="V7">
        <f t="shared" si="5"/>
        <v>0.99999739256991782</v>
      </c>
      <c r="W7">
        <f t="shared" si="5"/>
        <v>0.99999937512543957</v>
      </c>
      <c r="X7">
        <f t="shared" si="5"/>
        <v>0.99999985024809268</v>
      </c>
      <c r="Y7">
        <f t="shared" si="5"/>
        <v>0.99999996411179626</v>
      </c>
      <c r="Z7">
        <f t="shared" si="5"/>
        <v>0.99999999139935458</v>
      </c>
    </row>
    <row r="8" spans="1:26">
      <c r="A8" t="s">
        <v>47</v>
      </c>
      <c r="B8">
        <f>4*h/(1-h)</f>
        <v>12</v>
      </c>
      <c r="C8" t="s">
        <v>36</v>
      </c>
      <c r="F8" t="s">
        <v>35</v>
      </c>
      <c r="G8">
        <f t="shared" ref="G8:Z8" si="6">m+SUMPRODUCT(fe,G6:G7)</f>
        <v>0.3001647538788268</v>
      </c>
      <c r="H8">
        <f t="shared" si="6"/>
        <v>0.30166105125303944</v>
      </c>
      <c r="I8">
        <f t="shared" si="6"/>
        <v>0.31756919330186456</v>
      </c>
      <c r="J8">
        <f t="shared" si="6"/>
        <v>0.41400639589816735</v>
      </c>
      <c r="K8">
        <f t="shared" si="6"/>
        <v>0.51720239799642365</v>
      </c>
      <c r="L8">
        <f t="shared" si="6"/>
        <v>0.56341378719340385</v>
      </c>
      <c r="M8">
        <f t="shared" si="6"/>
        <v>0.63285486147706049</v>
      </c>
      <c r="N8">
        <f t="shared" si="6"/>
        <v>0.70104556247072436</v>
      </c>
      <c r="O8">
        <f t="shared" si="6"/>
        <v>0.73191253324704664</v>
      </c>
      <c r="P8">
        <f t="shared" si="6"/>
        <v>0.74095615297711181</v>
      </c>
      <c r="Q8">
        <f t="shared" si="6"/>
        <v>0.74324027618442579</v>
      </c>
      <c r="R8">
        <f t="shared" si="6"/>
        <v>0.74379475453928123</v>
      </c>
      <c r="S8">
        <f t="shared" si="6"/>
        <v>0.74392804809995428</v>
      </c>
      <c r="T8">
        <f t="shared" si="6"/>
        <v>0.74396001577371207</v>
      </c>
      <c r="U8">
        <f t="shared" si="6"/>
        <v>0.74396767822238874</v>
      </c>
      <c r="V8">
        <f t="shared" si="6"/>
        <v>0.74396951461429017</v>
      </c>
      <c r="W8">
        <f t="shared" si="6"/>
        <v>0.74396995471198923</v>
      </c>
      <c r="X8">
        <f t="shared" si="6"/>
        <v>0.7439700601821152</v>
      </c>
      <c r="Y8">
        <f t="shared" si="6"/>
        <v>0.74397008545815491</v>
      </c>
      <c r="Z8">
        <f t="shared" si="6"/>
        <v>0.7439700915155848</v>
      </c>
    </row>
    <row r="9" spans="1:26">
      <c r="F9" s="7" t="s">
        <v>60</v>
      </c>
      <c r="G9" s="7">
        <f t="shared" ref="G9:Z9" si="7">EXP(-za)</f>
        <v>0.74069617806012866</v>
      </c>
      <c r="H9" s="7">
        <f t="shared" si="7"/>
        <v>0.73958870507489516</v>
      </c>
      <c r="I9" s="7">
        <f t="shared" si="7"/>
        <v>0.72791631209862906</v>
      </c>
      <c r="J9" s="7">
        <f t="shared" si="7"/>
        <v>0.66099672358465955</v>
      </c>
      <c r="K9" s="7">
        <f t="shared" si="7"/>
        <v>0.59618610854786458</v>
      </c>
      <c r="L9" s="7">
        <f t="shared" si="7"/>
        <v>0.56926240229655334</v>
      </c>
      <c r="M9" s="7">
        <f t="shared" si="7"/>
        <v>0.53107349350122179</v>
      </c>
      <c r="N9" s="7">
        <f t="shared" si="7"/>
        <v>0.49606636417342198</v>
      </c>
      <c r="O9" s="7">
        <f t="shared" si="7"/>
        <v>0.48098820392235364</v>
      </c>
      <c r="P9" s="7">
        <f t="shared" si="7"/>
        <v>0.47665793965636655</v>
      </c>
      <c r="Q9" s="7">
        <f t="shared" si="7"/>
        <v>0.47557043666267168</v>
      </c>
      <c r="R9" s="7">
        <f t="shared" si="7"/>
        <v>0.47530681624199572</v>
      </c>
      <c r="S9" s="7">
        <f t="shared" si="7"/>
        <v>0.47524346512628834</v>
      </c>
      <c r="T9" s="7">
        <f t="shared" si="7"/>
        <v>0.4752282729410704</v>
      </c>
      <c r="U9" s="7">
        <f t="shared" si="7"/>
        <v>0.47522463154277034</v>
      </c>
      <c r="V9" s="7">
        <f t="shared" si="7"/>
        <v>0.47522375884490692</v>
      </c>
      <c r="W9" s="7">
        <f t="shared" si="7"/>
        <v>0.47522354970007014</v>
      </c>
      <c r="X9" s="7">
        <f t="shared" si="7"/>
        <v>0.4752234995781851</v>
      </c>
      <c r="Y9" s="7">
        <f t="shared" si="7"/>
        <v>0.47522348756641719</v>
      </c>
      <c r="Z9" s="7">
        <f t="shared" si="7"/>
        <v>0.47522348468778425</v>
      </c>
    </row>
    <row r="10" spans="1:26">
      <c r="A10" t="s">
        <v>68</v>
      </c>
      <c r="B10">
        <v>0.4</v>
      </c>
      <c r="C10">
        <f>1-B10</f>
        <v>0.6</v>
      </c>
      <c r="F10" t="s">
        <v>61</v>
      </c>
      <c r="G10">
        <f t="shared" ref="G10:Z10" si="8">1-sa</f>
        <v>0.25930382193987134</v>
      </c>
      <c r="H10">
        <f t="shared" si="8"/>
        <v>0.26041129492510484</v>
      </c>
      <c r="I10">
        <f t="shared" si="8"/>
        <v>0.27208368790137094</v>
      </c>
      <c r="J10">
        <f t="shared" si="8"/>
        <v>0.33900327641534045</v>
      </c>
      <c r="K10">
        <f t="shared" si="8"/>
        <v>0.40381389145213542</v>
      </c>
      <c r="L10">
        <f t="shared" si="8"/>
        <v>0.43073759770344666</v>
      </c>
      <c r="M10">
        <f t="shared" si="8"/>
        <v>0.46892650649877821</v>
      </c>
      <c r="N10">
        <f t="shared" si="8"/>
        <v>0.50393363582657802</v>
      </c>
      <c r="O10">
        <f t="shared" si="8"/>
        <v>0.51901179607764636</v>
      </c>
      <c r="P10">
        <f t="shared" si="8"/>
        <v>0.5233420603436334</v>
      </c>
      <c r="Q10">
        <f t="shared" si="8"/>
        <v>0.52442956333732837</v>
      </c>
      <c r="R10">
        <f t="shared" si="8"/>
        <v>0.52469318375800422</v>
      </c>
      <c r="S10">
        <f t="shared" si="8"/>
        <v>0.52475653487371166</v>
      </c>
      <c r="T10">
        <f t="shared" si="8"/>
        <v>0.5247717270589296</v>
      </c>
      <c r="U10">
        <f t="shared" si="8"/>
        <v>0.52477536845722961</v>
      </c>
      <c r="V10">
        <f t="shared" si="8"/>
        <v>0.52477624115509314</v>
      </c>
      <c r="W10">
        <f t="shared" si="8"/>
        <v>0.52477645029992992</v>
      </c>
      <c r="X10">
        <f t="shared" si="8"/>
        <v>0.5247765004218149</v>
      </c>
      <c r="Y10">
        <f t="shared" si="8"/>
        <v>0.52477651243358281</v>
      </c>
      <c r="Z10">
        <f t="shared" si="8"/>
        <v>0.5247765153122157</v>
      </c>
    </row>
    <row r="11" spans="1:26">
      <c r="F11" t="s">
        <v>40</v>
      </c>
      <c r="G11">
        <f t="shared" ref="G11:Z11" si="9">wa*G6/za*(1-EXP(-za))</f>
        <v>2.8442833903233952E-6</v>
      </c>
      <c r="H11">
        <f t="shared" si="9"/>
        <v>2.0702812615141169E-4</v>
      </c>
      <c r="I11">
        <f>wa*I6/za*(1-EXP(-za))</f>
        <v>5.9695312604443451E-3</v>
      </c>
      <c r="J11">
        <f t="shared" si="9"/>
        <v>6.8366532256935564E-2</v>
      </c>
      <c r="K11">
        <f t="shared" si="9"/>
        <v>0.1822464573414547</v>
      </c>
      <c r="L11">
        <f t="shared" si="9"/>
        <v>0.2591423262633164</v>
      </c>
      <c r="M11">
        <f t="shared" si="9"/>
        <v>0.31669603389935391</v>
      </c>
      <c r="N11">
        <f t="shared" si="9"/>
        <v>0.36541384875993488</v>
      </c>
      <c r="O11">
        <f t="shared" si="9"/>
        <v>0.41239121198241591</v>
      </c>
      <c r="P11">
        <f t="shared" si="9"/>
        <v>0.45660031959900554</v>
      </c>
      <c r="Q11">
        <f t="shared" si="9"/>
        <v>0.4960799257272403</v>
      </c>
      <c r="R11">
        <f t="shared" si="9"/>
        <v>0.53033239800175513</v>
      </c>
      <c r="S11">
        <f t="shared" si="9"/>
        <v>0.55959638548245694</v>
      </c>
      <c r="T11">
        <f t="shared" si="9"/>
        <v>0.58436086892961103</v>
      </c>
      <c r="U11">
        <f t="shared" si="9"/>
        <v>0.60517667908113149</v>
      </c>
      <c r="V11">
        <f t="shared" si="9"/>
        <v>0.62258388067067572</v>
      </c>
      <c r="W11">
        <f t="shared" si="9"/>
        <v>0.63708201072048454</v>
      </c>
      <c r="X11">
        <f t="shared" si="9"/>
        <v>0.64911835948583985</v>
      </c>
      <c r="Y11">
        <f t="shared" si="9"/>
        <v>0.65908502970573268</v>
      </c>
      <c r="Z11">
        <f t="shared" si="9"/>
        <v>0.66732060052832298</v>
      </c>
    </row>
    <row r="12" spans="1:26">
      <c r="G12">
        <f t="shared" ref="G12:Z12" si="10">wa*G7/za*(1-EXP(-za))</f>
        <v>9.7457489140442438E-7</v>
      </c>
      <c r="H12">
        <f t="shared" si="10"/>
        <v>2.4432707030000494E-5</v>
      </c>
      <c r="I12">
        <f t="shared" si="10"/>
        <v>2.5871695592476386E-4</v>
      </c>
      <c r="J12">
        <f t="shared" si="10"/>
        <v>1.8564134603684685E-3</v>
      </c>
      <c r="K12">
        <f t="shared" si="10"/>
        <v>1.0710910517549034E-2</v>
      </c>
      <c r="L12">
        <f t="shared" si="10"/>
        <v>5.043530546779787E-2</v>
      </c>
      <c r="M12">
        <f t="shared" si="10"/>
        <v>0.1584355967628957</v>
      </c>
      <c r="N12">
        <f t="shared" si="10"/>
        <v>0.29478492558027752</v>
      </c>
      <c r="O12">
        <f t="shared" si="10"/>
        <v>0.38999435170352448</v>
      </c>
      <c r="P12">
        <f t="shared" si="10"/>
        <v>0.45040123276206284</v>
      </c>
      <c r="Q12">
        <f t="shared" si="10"/>
        <v>0.49444899532669961</v>
      </c>
      <c r="R12">
        <f t="shared" si="10"/>
        <v>0.52991350759500733</v>
      </c>
      <c r="S12">
        <f t="shared" si="10"/>
        <v>0.55949039469556361</v>
      </c>
      <c r="T12">
        <f t="shared" si="10"/>
        <v>0.58433434019972386</v>
      </c>
      <c r="U12">
        <f t="shared" si="10"/>
        <v>0.60517009474633232</v>
      </c>
      <c r="V12">
        <f t="shared" si="10"/>
        <v>0.62258225732679484</v>
      </c>
      <c r="W12">
        <f t="shared" si="10"/>
        <v>0.63708161262414797</v>
      </c>
      <c r="X12">
        <f t="shared" si="10"/>
        <v>0.64911826227912783</v>
      </c>
      <c r="Y12">
        <f t="shared" si="10"/>
        <v>0.65908500605235476</v>
      </c>
      <c r="Z12">
        <f t="shared" si="10"/>
        <v>0.66732059478893513</v>
      </c>
    </row>
    <row r="13" spans="1:26">
      <c r="A13" t="s">
        <v>29</v>
      </c>
      <c r="B13" s="2">
        <v>9.9999999999999995E-7</v>
      </c>
    </row>
    <row r="14" spans="1:26">
      <c r="F14" t="s">
        <v>25</v>
      </c>
      <c r="G14">
        <f>1</f>
        <v>1</v>
      </c>
      <c r="H14">
        <f>G14*EXP(-m-SUMPRODUCT(G$6:G$7,$B$6:$B$7))</f>
        <v>0.74069617806012866</v>
      </c>
      <c r="I14">
        <f t="shared" ref="I14:Y14" si="11">H14*EXP(-m-SUMPRODUCT(H$6:H$7,$B$6:$B$7))</f>
        <v>0.54781052718541456</v>
      </c>
      <c r="J14">
        <f t="shared" si="11"/>
        <v>0.39876021867761274</v>
      </c>
      <c r="K14">
        <f t="shared" si="11"/>
        <v>0.26357919804180441</v>
      </c>
      <c r="L14">
        <f t="shared" si="11"/>
        <v>0.1571422563747103</v>
      </c>
      <c r="M14">
        <f t="shared" si="11"/>
        <v>8.9455178366168453E-2</v>
      </c>
      <c r="N14">
        <f t="shared" si="11"/>
        <v>4.7507274086696E-2</v>
      </c>
      <c r="O14">
        <f t="shared" si="11"/>
        <v>2.3566760727977511E-2</v>
      </c>
      <c r="P14">
        <f t="shared" si="11"/>
        <v>1.1335333914817763E-2</v>
      </c>
      <c r="Q14">
        <f t="shared" si="11"/>
        <v>5.4030769091539706E-3</v>
      </c>
      <c r="R14">
        <f t="shared" si="11"/>
        <v>2.5695436450083524E-3</v>
      </c>
      <c r="S14">
        <f t="shared" si="11"/>
        <v>1.2213216091037729E-3</v>
      </c>
      <c r="T14">
        <f t="shared" si="11"/>
        <v>5.804251135440912E-4</v>
      </c>
      <c r="U14">
        <f t="shared" si="11"/>
        <v>2.7583442428118313E-4</v>
      </c>
      <c r="V14">
        <f t="shared" si="11"/>
        <v>1.3108331264583743E-4</v>
      </c>
      <c r="W14">
        <f t="shared" si="11"/>
        <v>6.2293904557396984E-5</v>
      </c>
      <c r="X14">
        <f t="shared" si="11"/>
        <v>2.960353044844357E-5</v>
      </c>
      <c r="Y14">
        <f t="shared" si="11"/>
        <v>1.4068293339578713E-5</v>
      </c>
      <c r="Z14">
        <f>Y14*EXP(-m-SUMPRODUCT(Y$6:Y$7,$B$6:$B$7))/(1-EXP(-m-SUMPRODUCT(B$6:B$7,Z6:Z7)))</f>
        <v>1.273986779108133E-5</v>
      </c>
    </row>
    <row r="15" spans="1:26">
      <c r="A15" t="s">
        <v>105</v>
      </c>
      <c r="B15">
        <f>phif/phie</f>
        <v>0.39514573861617147</v>
      </c>
      <c r="F15" t="s">
        <v>26</v>
      </c>
      <c r="G15">
        <f>1</f>
        <v>1</v>
      </c>
      <c r="H15">
        <f>G15*EXP(-m-SUMPRODUCT(G$6:G$7,$C$6:$C$7))</f>
        <v>0.74069617765068774</v>
      </c>
      <c r="I15">
        <f t="shared" ref="I15:Y15" si="12">H15*EXP(-m-SUMPRODUCT(H$6:H$7,$C$6:$C$7))</f>
        <v>0.54781052321618251</v>
      </c>
      <c r="J15">
        <f t="shared" si="12"/>
        <v>0.39876018553912085</v>
      </c>
      <c r="K15">
        <f t="shared" si="12"/>
        <v>0.26357904434781471</v>
      </c>
      <c r="L15">
        <f t="shared" si="12"/>
        <v>0.15714201952290968</v>
      </c>
      <c r="M15">
        <f t="shared" si="12"/>
        <v>8.9454954679053303E-2</v>
      </c>
      <c r="N15">
        <f t="shared" si="12"/>
        <v>4.7507107811527685E-2</v>
      </c>
      <c r="O15">
        <f t="shared" si="12"/>
        <v>2.3566654678862726E-2</v>
      </c>
      <c r="P15">
        <f t="shared" si="12"/>
        <v>1.1335271571209518E-2</v>
      </c>
      <c r="Q15">
        <f t="shared" si="12"/>
        <v>5.4030417895352756E-3</v>
      </c>
      <c r="R15">
        <f t="shared" si="12"/>
        <v>2.5695243736303603E-3</v>
      </c>
      <c r="S15">
        <f t="shared" si="12"/>
        <v>1.2213112279746187E-3</v>
      </c>
      <c r="T15">
        <f t="shared" si="12"/>
        <v>5.8041959956041042E-4</v>
      </c>
      <c r="U15">
        <f t="shared" si="12"/>
        <v>2.7583152804857555E-4</v>
      </c>
      <c r="V15">
        <f t="shared" si="12"/>
        <v>1.310818052028929E-4</v>
      </c>
      <c r="W15">
        <f t="shared" si="12"/>
        <v>6.2293125891537613E-5</v>
      </c>
      <c r="X15">
        <f t="shared" si="12"/>
        <v>2.9603130804944239E-5</v>
      </c>
      <c r="Y15">
        <f t="shared" si="12"/>
        <v>1.4068089351499991E-5</v>
      </c>
      <c r="Z15">
        <f>Y15*EXP(-m-SUMPRODUCT(Y$6:Y$7,$C$6:$C$7))/(1-EXP(-m-SUMPRODUCT(C$6:C$7,Z6:Z7)))</f>
        <v>1.2739658788604744E-5</v>
      </c>
    </row>
    <row r="16" spans="1:26">
      <c r="F16" t="s">
        <v>66</v>
      </c>
      <c r="G16">
        <f>1</f>
        <v>1</v>
      </c>
      <c r="H16">
        <f>G16*EXP(-m-SUMPRODUCT(G$6:G$7,$D$6:$D$7))</f>
        <v>0.7406961784695697</v>
      </c>
      <c r="I16">
        <f t="shared" ref="I16:Y16" si="13">H16*EXP(-m-SUMPRODUCT(H$6:H$7,$D$6:$D$7))</f>
        <v>0.54781053115464673</v>
      </c>
      <c r="J16">
        <f t="shared" si="13"/>
        <v>0.39876025181610741</v>
      </c>
      <c r="K16">
        <f t="shared" si="13"/>
        <v>0.2635793517358837</v>
      </c>
      <c r="L16">
        <f t="shared" si="13"/>
        <v>0.15714249322686794</v>
      </c>
      <c r="M16">
        <f t="shared" si="13"/>
        <v>8.9455402053842947E-2</v>
      </c>
      <c r="N16">
        <f t="shared" si="13"/>
        <v>4.7507440362446286E-2</v>
      </c>
      <c r="O16">
        <f t="shared" si="13"/>
        <v>2.3566866777569518E-2</v>
      </c>
      <c r="P16">
        <f t="shared" si="13"/>
        <v>1.1335396258768896E-2</v>
      </c>
      <c r="Q16">
        <f t="shared" si="13"/>
        <v>5.4031120290009421E-3</v>
      </c>
      <c r="R16">
        <f t="shared" si="13"/>
        <v>2.569562916530879E-3</v>
      </c>
      <c r="S16">
        <f t="shared" si="13"/>
        <v>1.2213319903211664E-3</v>
      </c>
      <c r="T16">
        <f t="shared" si="13"/>
        <v>5.8043062758015489E-4</v>
      </c>
      <c r="U16">
        <f t="shared" si="13"/>
        <v>2.7583732054420123E-4</v>
      </c>
      <c r="V16">
        <f t="shared" si="13"/>
        <v>1.310848201061176E-4</v>
      </c>
      <c r="W16">
        <f t="shared" si="13"/>
        <v>6.2294683232989712E-5</v>
      </c>
      <c r="X16">
        <f t="shared" si="13"/>
        <v>2.9603930097338107E-5</v>
      </c>
      <c r="Y16">
        <f t="shared" si="13"/>
        <v>1.4068497330615273E-5</v>
      </c>
      <c r="Z16">
        <f>Y16*EXP(-m-SUMPRODUCT(Y$6:Y$7,$D$6:$D$7))/(1-EXP(-m-SUMPRODUCT(D$6:D$7,Z6:Z7)))</f>
        <v>1.2740076797008714E-5</v>
      </c>
    </row>
    <row r="17" spans="1:26">
      <c r="A17" t="s">
        <v>51</v>
      </c>
      <c r="B17">
        <f>ro*(reck-phie/phif)/(reck-1)</f>
        <v>0.86084437800731195</v>
      </c>
      <c r="F17" s="3" t="s">
        <v>31</v>
      </c>
      <c r="G17" s="3">
        <f>(G14-G15)/dh</f>
        <v>0</v>
      </c>
      <c r="H17" s="3">
        <f t="shared" ref="H17:Y17" si="14">(H15-H14)/dh</f>
        <v>-4.0944092560835088E-4</v>
      </c>
      <c r="I17" s="3">
        <f t="shared" si="14"/>
        <v>-3.9692320541462323E-3</v>
      </c>
      <c r="J17" s="3">
        <f t="shared" si="14"/>
        <v>-3.3138491895012834E-2</v>
      </c>
      <c r="K17" s="3">
        <f t="shared" si="14"/>
        <v>-0.15369398970177528</v>
      </c>
      <c r="L17" s="3">
        <f t="shared" si="14"/>
        <v>-0.23685180061683297</v>
      </c>
      <c r="M17" s="3">
        <f t="shared" si="14"/>
        <v>-0.2236871151500841</v>
      </c>
      <c r="N17" s="3">
        <f t="shared" si="14"/>
        <v>-0.166275168314578</v>
      </c>
      <c r="O17" s="3">
        <f t="shared" si="14"/>
        <v>-0.106049114784873</v>
      </c>
      <c r="P17" s="3">
        <f t="shared" si="14"/>
        <v>-6.2343608244613824E-2</v>
      </c>
      <c r="Q17" s="3">
        <f t="shared" si="14"/>
        <v>-3.5119618694949561E-2</v>
      </c>
      <c r="R17" s="3">
        <f t="shared" si="14"/>
        <v>-1.9271377992100686E-2</v>
      </c>
      <c r="S17" s="3">
        <f t="shared" si="14"/>
        <v>-1.0381129154218849E-2</v>
      </c>
      <c r="T17" s="3">
        <f t="shared" si="14"/>
        <v>-5.5139836807821876E-3</v>
      </c>
      <c r="U17" s="3">
        <f t="shared" si="14"/>
        <v>-2.896232607582129E-3</v>
      </c>
      <c r="V17" s="3">
        <f t="shared" si="14"/>
        <v>-1.5074429445319486E-3</v>
      </c>
      <c r="W17" s="3">
        <f t="shared" si="14"/>
        <v>-7.7866585937089432E-4</v>
      </c>
      <c r="X17" s="3">
        <f t="shared" si="14"/>
        <v>-3.9964349933069255E-4</v>
      </c>
      <c r="Y17" s="3">
        <f t="shared" si="14"/>
        <v>-2.03988078722477E-4</v>
      </c>
      <c r="Z17" s="3">
        <f>(Z15-Z14)/dh</f>
        <v>-2.0900247658547607E-4</v>
      </c>
    </row>
    <row r="18" spans="1:26">
      <c r="A18" t="s">
        <v>37</v>
      </c>
      <c r="B18">
        <f>SUMPRODUCT(lx,fa)</f>
        <v>0.53468880128210072</v>
      </c>
      <c r="F18" t="s">
        <v>33</v>
      </c>
      <c r="G18">
        <f>0</f>
        <v>0</v>
      </c>
      <c r="H18">
        <f t="shared" ref="H18:Y18" si="15">G18*EXP(-G8) - G14*G6*EXP(-G8)</f>
        <v>-4.0944102368259768E-4</v>
      </c>
      <c r="I18">
        <f t="shared" si="15"/>
        <v>-3.9692321497158279E-3</v>
      </c>
      <c r="J18">
        <f t="shared" si="15"/>
        <v>-3.3138493282041256E-2</v>
      </c>
      <c r="K18">
        <f t="shared" si="15"/>
        <v>-0.15369403450486374</v>
      </c>
      <c r="L18">
        <f t="shared" si="15"/>
        <v>-0.23685197914016906</v>
      </c>
      <c r="M18">
        <f t="shared" si="15"/>
        <v>-0.22368739482698413</v>
      </c>
      <c r="N18">
        <f t="shared" si="15"/>
        <v>-0.16627545930343599</v>
      </c>
      <c r="O18">
        <f t="shared" si="15"/>
        <v>-0.10604935339518952</v>
      </c>
      <c r="P18">
        <f t="shared" si="15"/>
        <v>-6.2343779688796258E-2</v>
      </c>
      <c r="Q18">
        <f t="shared" si="15"/>
        <v>-3.5119732833192766E-2</v>
      </c>
      <c r="R18">
        <f t="shared" si="15"/>
        <v>-1.9271450259444985E-2</v>
      </c>
      <c r="S18">
        <f t="shared" si="15"/>
        <v>-1.038117327376922E-2</v>
      </c>
      <c r="T18">
        <f t="shared" si="15"/>
        <v>-5.5140098721483885E-3</v>
      </c>
      <c r="U18">
        <f t="shared" si="15"/>
        <v>-2.8962478127984434E-3</v>
      </c>
      <c r="V18">
        <f t="shared" si="15"/>
        <v>-1.5074516123393827E-3</v>
      </c>
      <c r="W18">
        <f t="shared" si="15"/>
        <v>-7.7867072605012808E-4</v>
      </c>
      <c r="X18">
        <f t="shared" si="15"/>
        <v>-3.9964619692951607E-4</v>
      </c>
      <c r="Y18">
        <f t="shared" si="15"/>
        <v>-2.0398955763753585E-4</v>
      </c>
      <c r="Z18">
        <f>(Y18-Y14*Y6)*Y$9/oa-Y14*Y$9*Z6*sa/oa^2</f>
        <v>-2.0900420197627822E-4</v>
      </c>
    </row>
    <row r="19" spans="1:26">
      <c r="A19" t="s">
        <v>38</v>
      </c>
      <c r="B19">
        <f>SUMPRODUCT(lz,fa)</f>
        <v>0.21128000131241101</v>
      </c>
      <c r="F19" t="s">
        <v>34</v>
      </c>
      <c r="G19">
        <v>0</v>
      </c>
      <c r="H19">
        <f t="shared" ref="H19:Y19" si="16">G19*EXP(-G8) - G14*G7*EXP(-G8)</f>
        <v>-1.4029225869318672E-4</v>
      </c>
      <c r="I19">
        <f t="shared" si="16"/>
        <v>-5.364554478873814E-4</v>
      </c>
      <c r="J19">
        <f t="shared" si="16"/>
        <v>-1.7014832444243913E-3</v>
      </c>
      <c r="K19">
        <f t="shared" si="16"/>
        <v>-4.7032677297110456E-3</v>
      </c>
      <c r="L19">
        <f t="shared" si="16"/>
        <v>-1.1338932076398465E-2</v>
      </c>
      <c r="M19">
        <f t="shared" si="16"/>
        <v>-2.3748425330945577E-2</v>
      </c>
      <c r="N19">
        <f t="shared" si="16"/>
        <v>-3.6365796249006176E-2</v>
      </c>
      <c r="O19">
        <f t="shared" si="16"/>
        <v>-3.7050650587757611E-2</v>
      </c>
      <c r="P19">
        <f t="shared" si="16"/>
        <v>-2.8540600787560148E-2</v>
      </c>
      <c r="Q19">
        <f t="shared" si="16"/>
        <v>-1.8933823750671017E-2</v>
      </c>
      <c r="R19">
        <f t="shared" si="16"/>
        <v>-1.1565462684387866E-2</v>
      </c>
      <c r="S19">
        <f t="shared" si="16"/>
        <v>-6.7175001756428366E-3</v>
      </c>
      <c r="T19">
        <f t="shared" si="16"/>
        <v>-3.7727632380365928E-3</v>
      </c>
      <c r="U19">
        <f t="shared" si="16"/>
        <v>-2.0687456598138965E-3</v>
      </c>
      <c r="V19">
        <f t="shared" si="16"/>
        <v>-1.1142007803972966E-3</v>
      </c>
      <c r="W19">
        <f t="shared" si="16"/>
        <v>-5.9178842509872835E-4</v>
      </c>
      <c r="X19">
        <f t="shared" si="16"/>
        <v>-3.1083530799678224E-4</v>
      </c>
      <c r="Y19">
        <f t="shared" si="16"/>
        <v>-1.6178453409151881E-4</v>
      </c>
      <c r="Z19">
        <f>Y19*EXP(-Y8)/(1-EXP(-za))-Y14*Y7*EXP(-Y8)/(1-EXP(-za))-Y14*EXP(-Y8)*Z7*EXP(-za)/(1-EXP(-za))^2</f>
        <v>-1.707844680721562E-4</v>
      </c>
    </row>
    <row r="20" spans="1:26">
      <c r="A20" t="s">
        <v>49</v>
      </c>
      <c r="B20">
        <f>B6</f>
        <v>0.22198504671239971</v>
      </c>
      <c r="C20">
        <f>B7</f>
        <v>0.22198504671239971</v>
      </c>
      <c r="F20" s="4" t="s">
        <v>58</v>
      </c>
      <c r="G20" s="4">
        <v>0</v>
      </c>
      <c r="H20" s="4">
        <f t="shared" ref="H20:Y21" si="17">G20*EXP(-G$8)+G$14*G6^2*EXP(-G$8)</f>
        <v>2.2633025097186959E-7</v>
      </c>
      <c r="I20" s="4">
        <f t="shared" si="17"/>
        <v>2.470615491904462E-5</v>
      </c>
      <c r="J20" s="4">
        <f t="shared" si="17"/>
        <v>2.3126351272908935E-3</v>
      </c>
      <c r="K20" s="4">
        <f t="shared" si="17"/>
        <v>6.7423443752437168E-2</v>
      </c>
      <c r="L20" s="4">
        <f t="shared" si="17"/>
        <v>0.17440239515920308</v>
      </c>
      <c r="M20" s="4">
        <f t="shared" si="17"/>
        <v>0.18754249153228519</v>
      </c>
      <c r="N20" s="4">
        <f t="shared" si="17"/>
        <v>0.14705361274876602</v>
      </c>
      <c r="O20" s="4">
        <f t="shared" si="17"/>
        <v>9.6512972029975996E-2</v>
      </c>
      <c r="P20" s="4">
        <f t="shared" si="17"/>
        <v>5.7756850501480363E-2</v>
      </c>
      <c r="Q20" s="4">
        <f t="shared" si="17"/>
        <v>3.293333496460437E-2</v>
      </c>
      <c r="R20" s="4">
        <f t="shared" si="17"/>
        <v>1.823166400584085E-2</v>
      </c>
      <c r="S20" s="4">
        <f t="shared" si="17"/>
        <v>9.8869557774791152E-3</v>
      </c>
      <c r="T20" s="4">
        <f t="shared" si="17"/>
        <v>5.2791362365872379E-3</v>
      </c>
      <c r="U20" s="4">
        <f t="shared" si="17"/>
        <v>2.784629220607497E-3</v>
      </c>
      <c r="V20" s="4">
        <f t="shared" si="17"/>
        <v>1.454407707991968E-3</v>
      </c>
      <c r="W20" s="4">
        <f t="shared" si="17"/>
        <v>7.534630024423341E-4</v>
      </c>
      <c r="X20" s="4">
        <f t="shared" si="17"/>
        <v>3.8766689303676173E-4</v>
      </c>
      <c r="Y20" s="4">
        <f t="shared" si="17"/>
        <v>1.9829671091911057E-4</v>
      </c>
      <c r="Z20" s="4">
        <f>Y20*Y9/oa+2*Y$14*(Y6)*Y$9*sa/oa^2 + 2*Y$14*Y$9*Z6^2*sa^2/oa^3 +Y$14*Y$9*Z6^2*sa/oa^2</f>
        <v>2.3507778626202615E-4</v>
      </c>
    </row>
    <row r="21" spans="1:26">
      <c r="A21" t="s">
        <v>48</v>
      </c>
      <c r="B21">
        <f>SUMPRODUCT(fa,G18:Z18)</f>
        <v>-0.45906729022292792</v>
      </c>
      <c r="C21">
        <f>SUMPRODUCT(fa,G19:Z19)</f>
        <v>-0.10805055992994111</v>
      </c>
      <c r="F21" s="4" t="s">
        <v>59</v>
      </c>
      <c r="G21" s="4">
        <v>0</v>
      </c>
      <c r="H21" s="4">
        <f t="shared" si="17"/>
        <v>2.6572187669150196E-8</v>
      </c>
      <c r="I21" s="4">
        <f t="shared" si="17"/>
        <v>3.614250168564176E-7</v>
      </c>
      <c r="J21" s="4">
        <f t="shared" si="17"/>
        <v>4.5731736748576282E-6</v>
      </c>
      <c r="K21" s="4">
        <f t="shared" si="17"/>
        <v>5.1609111121509116E-5</v>
      </c>
      <c r="L21" s="4">
        <f t="shared" si="17"/>
        <v>4.9432742944271915E-4</v>
      </c>
      <c r="M21" s="4">
        <f t="shared" si="17"/>
        <v>3.6246240002611408E-3</v>
      </c>
      <c r="N21" s="4">
        <f t="shared" si="17"/>
        <v>1.3801760252121058E-2</v>
      </c>
      <c r="O21" s="4">
        <f t="shared" si="17"/>
        <v>2.2182196955327207E-2</v>
      </c>
      <c r="P21" s="4">
        <f t="shared" si="17"/>
        <v>2.0806829423704515E-2</v>
      </c>
      <c r="Q21" s="4">
        <f t="shared" si="17"/>
        <v>1.5175099063778792E-2</v>
      </c>
      <c r="R21" s="4">
        <f t="shared" si="17"/>
        <v>9.7695043277976762E-3</v>
      </c>
      <c r="S21" s="4">
        <f t="shared" si="17"/>
        <v>5.8629050086939569E-3</v>
      </c>
      <c r="T21" s="4">
        <f t="shared" si="17"/>
        <v>3.3665125544717033E-3</v>
      </c>
      <c r="U21" s="4">
        <f t="shared" si="17"/>
        <v>1.8756713273557332E-3</v>
      </c>
      <c r="V21" s="4">
        <f t="shared" si="17"/>
        <v>1.0224456757207112E-3</v>
      </c>
      <c r="W21" s="4">
        <f t="shared" si="17"/>
        <v>5.4818405693453636E-4</v>
      </c>
      <c r="X21" s="4">
        <f t="shared" si="17"/>
        <v>2.9011346687688469E-4</v>
      </c>
      <c r="Y21" s="4">
        <f t="shared" si="17"/>
        <v>1.5193702613006452E-4</v>
      </c>
      <c r="Z21" s="4">
        <f>Y21*EXP(-Y$8)/oa+2*Y$14*(Y7)*Y$9*sa/oa^2 + 2*Y$14*Y$9*Z7^2*sa^2/oa^3 +Y$14*Y$9*Z7^2*sa/oa^2</f>
        <v>1.9309570213210932E-4</v>
      </c>
    </row>
    <row r="22" spans="1:26">
      <c r="A22" t="s">
        <v>64</v>
      </c>
      <c r="B22">
        <f>SUMPRODUCT(fa,G20:Z20)</f>
        <v>0.37916357724459171</v>
      </c>
      <c r="C22">
        <f>SUMPRODUCT(fa,G21:Z21)</f>
        <v>6.4151354343679051E-2</v>
      </c>
      <c r="F22" t="s">
        <v>44</v>
      </c>
      <c r="G22">
        <f>G11*G18+lz*wa*G6/za*(EXP(-za)-(1-EXP(-za))/za)</f>
        <v>-1.3511021676229991E-6</v>
      </c>
      <c r="H22">
        <f>H11*H18+lz*wa*H6/za*(EXP(-za)-(1-EXP(-za))/za)</f>
        <v>-7.2908220852422288E-5</v>
      </c>
      <c r="I22">
        <f t="shared" ref="I22:Z22" si="18">I11*I18+lz*wa*I6/za*(EXP(-za)-(1-EXP(-za))/za)</f>
        <v>-1.5723834448617747E-3</v>
      </c>
      <c r="J22">
        <f t="shared" si="18"/>
        <v>-1.4958618010957206E-2</v>
      </c>
      <c r="K22">
        <f t="shared" si="18"/>
        <v>-4.9967175450824283E-2</v>
      </c>
      <c r="L22">
        <f t="shared" si="18"/>
        <v>-7.9837562757625088E-2</v>
      </c>
      <c r="M22">
        <f t="shared" si="18"/>
        <v>-8.3521769629464782E-2</v>
      </c>
      <c r="N22">
        <f t="shared" si="18"/>
        <v>-6.8433306092444343E-2</v>
      </c>
      <c r="O22">
        <f t="shared" si="18"/>
        <v>-4.8005638308254411E-2</v>
      </c>
      <c r="P22">
        <f t="shared" si="18"/>
        <v>-3.0737353205787746E-2</v>
      </c>
      <c r="Q22">
        <f t="shared" si="18"/>
        <v>-1.8597869559807526E-2</v>
      </c>
      <c r="R22">
        <f t="shared" si="18"/>
        <v>-1.0817934389444351E-2</v>
      </c>
      <c r="S22">
        <f t="shared" si="18"/>
        <v>-6.1090067244360825E-3</v>
      </c>
      <c r="T22">
        <f t="shared" si="18"/>
        <v>-3.3709240260312878E-3</v>
      </c>
      <c r="U22">
        <f t="shared" si="18"/>
        <v>-1.8259510200359498E-3</v>
      </c>
      <c r="V22">
        <f t="shared" si="18"/>
        <v>-9.7430668628097734E-4</v>
      </c>
      <c r="W22">
        <f t="shared" si="18"/>
        <v>-5.1348222427088322E-4</v>
      </c>
      <c r="X22">
        <f t="shared" si="18"/>
        <v>-2.6784527236792493E-4</v>
      </c>
      <c r="Y22">
        <f t="shared" si="18"/>
        <v>-1.3851294505184516E-4</v>
      </c>
      <c r="Z22">
        <f t="shared" si="18"/>
        <v>-1.4320132015623009E-4</v>
      </c>
    </row>
    <row r="23" spans="1:26">
      <c r="A23" t="s">
        <v>41</v>
      </c>
      <c r="B23">
        <f>SUMPRODUCT(lz*G11:Z11)</f>
        <v>0.18542206809774034</v>
      </c>
      <c r="C23">
        <f>SUMPRODUCT(lz*G12:Z12)</f>
        <v>5.9504294198978319E-2</v>
      </c>
      <c r="F23" t="s">
        <v>45</v>
      </c>
      <c r="G23">
        <f t="shared" ref="G23:Z23" si="19">G12*G19+lz*wa*G7/za*(EXP(-za)-(1-EXP(-za))/za)</f>
        <v>-4.6294622145149615E-7</v>
      </c>
      <c r="H23">
        <f t="shared" si="19"/>
        <v>-8.5977872160739734E-6</v>
      </c>
      <c r="I23">
        <f t="shared" si="19"/>
        <v>-6.7258314844845574E-5</v>
      </c>
      <c r="J23">
        <f t="shared" si="19"/>
        <v>-3.4782374006835841E-4</v>
      </c>
      <c r="K23">
        <f t="shared" si="19"/>
        <v>-1.3408226042439292E-3</v>
      </c>
      <c r="L23">
        <f t="shared" si="19"/>
        <v>-4.1644831208397862E-3</v>
      </c>
      <c r="M23">
        <f t="shared" si="19"/>
        <v>-1.0106532159143686E-2</v>
      </c>
      <c r="N23">
        <f t="shared" si="19"/>
        <v>-1.6910781506343009E-2</v>
      </c>
      <c r="O23">
        <f t="shared" si="19"/>
        <v>-1.8489360112883525E-2</v>
      </c>
      <c r="P23">
        <f t="shared" si="19"/>
        <v>-1.509505054081791E-2</v>
      </c>
      <c r="Q23">
        <f t="shared" si="19"/>
        <v>-1.0533620043349963E-2</v>
      </c>
      <c r="R23">
        <f t="shared" si="19"/>
        <v>-6.7258827884079395E-3</v>
      </c>
      <c r="S23">
        <f t="shared" si="19"/>
        <v>-4.0580597355787448E-3</v>
      </c>
      <c r="T23">
        <f t="shared" si="19"/>
        <v>-2.3533007902430559E-3</v>
      </c>
      <c r="U23">
        <f t="shared" si="19"/>
        <v>-1.3251515973265917E-3</v>
      </c>
      <c r="V23">
        <f t="shared" si="19"/>
        <v>-7.2947315519836134E-4</v>
      </c>
      <c r="W23">
        <f t="shared" si="19"/>
        <v>-3.9442262574787882E-4</v>
      </c>
      <c r="X23">
        <f t="shared" si="19"/>
        <v>-2.1019646236210388E-4</v>
      </c>
      <c r="Y23">
        <f t="shared" si="19"/>
        <v>-1.1069624188159793E-4</v>
      </c>
      <c r="Z23">
        <f t="shared" si="19"/>
        <v>-1.1769650336303277E-4</v>
      </c>
    </row>
    <row r="24" spans="1:26">
      <c r="A24" t="s">
        <v>43</v>
      </c>
      <c r="B24">
        <f>SUM(G22:Z22)</f>
        <v>-0.41986710039112274</v>
      </c>
      <c r="C24">
        <f>SUM(G23:Z23)</f>
        <v>-9.3089672776081822E-2</v>
      </c>
      <c r="F24" s="4" t="s">
        <v>62</v>
      </c>
      <c r="G24" s="4">
        <f t="shared" ref="G24:Z24" si="20">G20*G11+2*G18*wa*G6^2*sa/za - 2*G18*wa*G6^2*oa/za^2-lz*wa*G6^3*sa/za -2*lz*wa*G6^3*sa/za^2+2*lz*wa*G6^3*oa/za^3</f>
        <v>2.6821365960263372E-13</v>
      </c>
      <c r="H24" s="4">
        <f t="shared" si="20"/>
        <v>2.7046776699178183E-9</v>
      </c>
      <c r="I24" s="4">
        <f t="shared" si="20"/>
        <v>7.6307135048239694E-6</v>
      </c>
      <c r="J24" s="4">
        <f t="shared" si="20"/>
        <v>3.2535327335717068E-3</v>
      </c>
      <c r="K24" s="4">
        <f t="shared" si="20"/>
        <v>4.7896536419774149E-2</v>
      </c>
      <c r="L24" s="4">
        <f t="shared" si="20"/>
        <v>0.11201928533910005</v>
      </c>
      <c r="M24" s="4">
        <f t="shared" si="20"/>
        <v>0.13075878482792214</v>
      </c>
      <c r="N24" s="4">
        <f t="shared" si="20"/>
        <v>0.11225427887452208</v>
      </c>
      <c r="O24" s="4">
        <f t="shared" si="20"/>
        <v>8.0913212185490982E-2</v>
      </c>
      <c r="P24" s="4">
        <f t="shared" si="20"/>
        <v>5.2770698350747255E-2</v>
      </c>
      <c r="Q24" s="4">
        <f t="shared" si="20"/>
        <v>3.2354234391018748E-2</v>
      </c>
      <c r="R24" s="4">
        <f t="shared" si="20"/>
        <v>1.9006290557755514E-2</v>
      </c>
      <c r="S24" s="4">
        <f t="shared" si="20"/>
        <v>1.0815118517258596E-2</v>
      </c>
      <c r="T24" s="4">
        <f t="shared" si="20"/>
        <v>6.003939506489901E-3</v>
      </c>
      <c r="U24" s="4">
        <f t="shared" si="20"/>
        <v>3.2682238184766968E-3</v>
      </c>
      <c r="V24" s="4">
        <f t="shared" si="20"/>
        <v>1.7510080482952503E-3</v>
      </c>
      <c r="W24" s="4">
        <f t="shared" si="20"/>
        <v>9.2599476211197506E-4</v>
      </c>
      <c r="X24" s="4">
        <f t="shared" si="20"/>
        <v>4.8443980722222572E-4</v>
      </c>
      <c r="Y24" s="4">
        <f t="shared" si="20"/>
        <v>2.511571368320585E-4</v>
      </c>
      <c r="Z24" s="4">
        <f t="shared" si="20"/>
        <v>2.8153306857718933E-4</v>
      </c>
    </row>
    <row r="25" spans="1:26">
      <c r="A25" t="s">
        <v>56</v>
      </c>
      <c r="B25">
        <f>SUM(G24:Z24)</f>
        <v>0.61501590176361709</v>
      </c>
      <c r="C25">
        <f>SUM(G25:Z25)</f>
        <v>0.10561386177572663</v>
      </c>
      <c r="F25" s="4" t="s">
        <v>63</v>
      </c>
      <c r="G25" s="4">
        <f t="shared" ref="G25:Z25" si="21">G21*G12+2*G19*wa*G7^2*sa/za - 2*G19*wa*G7^2*oa/za^2-lz*wa*G7^3*sa/za -2*lz*wa*G7^3*sa/za^2+2*lz*wa*G7^3*oa/za^3</f>
        <v>1.0789664753751024E-14</v>
      </c>
      <c r="H25" s="4">
        <f t="shared" si="21"/>
        <v>6.7037484417897258E-12</v>
      </c>
      <c r="I25" s="4">
        <f t="shared" si="21"/>
        <v>9.9627933308531121E-10</v>
      </c>
      <c r="J25" s="4">
        <f t="shared" si="21"/>
        <v>8.9279109423762603E-8</v>
      </c>
      <c r="K25" s="4">
        <f t="shared" si="21"/>
        <v>5.4789216992315494E-6</v>
      </c>
      <c r="L25" s="4">
        <f t="shared" si="21"/>
        <v>2.1032071075924178E-4</v>
      </c>
      <c r="M25" s="4">
        <f t="shared" si="21"/>
        <v>3.2577999171205449E-3</v>
      </c>
      <c r="N25" s="4">
        <f t="shared" si="21"/>
        <v>1.423591464491402E-2</v>
      </c>
      <c r="O25" s="4">
        <f t="shared" si="21"/>
        <v>2.2918508741264533E-2</v>
      </c>
      <c r="P25" s="4">
        <f t="shared" si="21"/>
        <v>2.1859275399896901E-2</v>
      </c>
      <c r="Q25" s="4">
        <f t="shared" si="21"/>
        <v>1.6414783895545553E-2</v>
      </c>
      <c r="R25" s="4">
        <f t="shared" si="21"/>
        <v>1.0920332690341697E-2</v>
      </c>
      <c r="S25" s="4">
        <f t="shared" si="21"/>
        <v>6.7630028518707239E-3</v>
      </c>
      <c r="T25" s="4">
        <f t="shared" si="21"/>
        <v>3.9934997144097893E-3</v>
      </c>
      <c r="U25" s="4">
        <f t="shared" si="21"/>
        <v>2.2788502372354507E-3</v>
      </c>
      <c r="V25" s="4">
        <f t="shared" si="21"/>
        <v>1.2673202851302611E-3</v>
      </c>
      <c r="W25" s="4">
        <f t="shared" si="21"/>
        <v>6.9078358413859507E-4</v>
      </c>
      <c r="X25" s="4">
        <f t="shared" si="21"/>
        <v>3.7055030241484944E-4</v>
      </c>
      <c r="Y25" s="4">
        <f t="shared" si="21"/>
        <v>1.9620318067193693E-4</v>
      </c>
      <c r="Z25" s="4">
        <f t="shared" si="21"/>
        <v>2.3114641620998089E-4</v>
      </c>
    </row>
    <row r="26" spans="1:26">
      <c r="A26" t="s">
        <v>46</v>
      </c>
      <c r="B26">
        <f>ro/(reck-1)*phie/phif^2*dphif</f>
        <v>-0.49988254293678641</v>
      </c>
      <c r="C26">
        <f>ro/(reck-1)*phie/phif^2*dphif</f>
        <v>-0.11765723634392143</v>
      </c>
      <c r="G26">
        <f>G20*G11+2*G18*wa*G6^2*sa/za-2*G18*wa*G6^2*oa/za^2-lz*wa*G6^3*sa/za-2*lz*wa*G6^3*sa/za^2+2*lz*wa*G6^3*oa/za^3</f>
        <v>2.6821365960263372E-13</v>
      </c>
    </row>
    <row r="27" spans="1:26">
      <c r="A27" t="s">
        <v>57</v>
      </c>
      <c r="B27">
        <f>-2*ro*phie*dphif^2/(phif^3*(reck-1)) + ro*phie*ddphif/(phif^2*(reck-1))</f>
        <v>-1.7594059398940818</v>
      </c>
      <c r="C27">
        <f>-2*ro*phie*dphif^2/(phif^3*(reck-1)) + ro*phie*ddphif/(phif^2*(reck-1))</f>
        <v>-5.0487019821761264E-2</v>
      </c>
      <c r="G27">
        <f t="shared" ref="G27:Z27" si="22">(G15-2*G14+G16)/dh^2</f>
        <v>0</v>
      </c>
      <c r="H27">
        <f t="shared" si="22"/>
        <v>1.1102230246251565E-4</v>
      </c>
      <c r="I27">
        <f t="shared" si="22"/>
        <v>1.1102230246251565E-4</v>
      </c>
      <c r="J27">
        <f t="shared" si="22"/>
        <v>2.7755575615628914E-3</v>
      </c>
      <c r="K27">
        <f t="shared" si="22"/>
        <v>8.9594998087250133E-2</v>
      </c>
      <c r="L27">
        <f t="shared" si="22"/>
        <v>0.35701996914383471</v>
      </c>
      <c r="M27">
        <f t="shared" si="22"/>
        <v>0.55934423759396168</v>
      </c>
      <c r="N27">
        <f t="shared" si="22"/>
        <v>0.58197197061460315</v>
      </c>
      <c r="O27">
        <f t="shared" si="22"/>
        <v>0.47722242824121963</v>
      </c>
      <c r="P27">
        <f t="shared" si="22"/>
        <v>0.34288891170852764</v>
      </c>
      <c r="Q27">
        <f t="shared" si="22"/>
        <v>0.22827659901247799</v>
      </c>
      <c r="R27">
        <f t="shared" si="22"/>
        <v>0.1445345579331736</v>
      </c>
      <c r="S27">
        <f t="shared" si="22"/>
        <v>8.8239311690774258E-2</v>
      </c>
      <c r="T27">
        <f t="shared" si="22"/>
        <v>5.2382902702985401E-2</v>
      </c>
      <c r="U27">
        <f t="shared" si="22"/>
        <v>3.0410515685502792E-2</v>
      </c>
      <c r="V27">
        <f t="shared" si="22"/>
        <v>1.7335633796522476E-2</v>
      </c>
      <c r="W27">
        <f t="shared" si="22"/>
        <v>9.7333572408528357E-3</v>
      </c>
      <c r="X27">
        <f t="shared" si="22"/>
        <v>5.3952068507223672E-3</v>
      </c>
      <c r="Y27">
        <f t="shared" si="22"/>
        <v>2.9578373577461223E-3</v>
      </c>
      <c r="Z27">
        <f t="shared" si="22"/>
        <v>3.4507986745868635E-3</v>
      </c>
    </row>
    <row r="28" spans="1:26">
      <c r="F28" t="s">
        <v>30</v>
      </c>
      <c r="G28" t="s">
        <v>50</v>
      </c>
      <c r="H28" t="s">
        <v>55</v>
      </c>
    </row>
    <row r="29" spans="1:26">
      <c r="A29" t="s">
        <v>50</v>
      </c>
      <c r="B29">
        <f>f*re*phiq</f>
        <v>3.5433152126493957E-2</v>
      </c>
      <c r="C29">
        <f>f*re*phiq</f>
        <v>1.1370948076259458E-2</v>
      </c>
      <c r="F29">
        <v>0</v>
      </c>
      <c r="G29">
        <f>B29</f>
        <v>3.5433152126493957E-2</v>
      </c>
      <c r="H29">
        <f>B30</f>
        <v>5.8809589317839361E-2</v>
      </c>
    </row>
    <row r="30" spans="1:26">
      <c r="A30" t="s">
        <v>53</v>
      </c>
      <c r="B30">
        <f>re*phiq+f*phiq*dre+f*re*dphiq</f>
        <v>5.8809589317839361E-2</v>
      </c>
      <c r="C30">
        <f>re*phiq+f*phiq*dre+f*re*dphiq</f>
        <v>3.1880863347572175E-2</v>
      </c>
      <c r="F30">
        <v>0.2</v>
      </c>
      <c r="G30">
        <f t="dataTable" ref="G30:H56" dt2D="0" dtr="0" r1="B6"/>
        <v>3.396599399742567E-2</v>
      </c>
      <c r="H30">
        <v>7.1383047929654275E-2</v>
      </c>
      <c r="Z30" s="4">
        <f>Y30*EXP(-Y$8)/oa+Y$14*(Y16)^2*Y$9/oa + 2*Y$14*Y16*Y$9*Z16*sa/oa^2 + 2*Y$14*Y$9*Z16^2*sa/oa^3 + Y$14*Y$9*Z16^2*sa/oa^2</f>
        <v>1.5666197587887692E-14</v>
      </c>
    </row>
    <row r="31" spans="1:26">
      <c r="A31" t="s">
        <v>106</v>
      </c>
      <c r="B31">
        <f>ak*SUM(dYe)</f>
        <v>3.6276181066164613E-2</v>
      </c>
      <c r="C31">
        <f>ak*SUM(dYe)</f>
        <v>5.4414271599246923E-2</v>
      </c>
      <c r="F31">
        <v>0.20499999999999999</v>
      </c>
      <c r="G31">
        <v>3.4323950787470199E-2</v>
      </c>
      <c r="H31">
        <v>6.8379210345511768E-2</v>
      </c>
    </row>
    <row r="32" spans="1:26">
      <c r="A32" t="s">
        <v>52</v>
      </c>
      <c r="B32">
        <f>ak*SUM(B40,C41)</f>
        <v>-0.36794595232515442</v>
      </c>
      <c r="C32">
        <f>ak*SUM(C40,B41)</f>
        <v>0.12626113602840591</v>
      </c>
      <c r="F32">
        <v>0.21</v>
      </c>
      <c r="G32">
        <v>3.4667272742697236E-2</v>
      </c>
      <c r="H32">
        <v>6.5462682818601667E-2</v>
      </c>
    </row>
    <row r="33" spans="1:8">
      <c r="B33">
        <f>ak*SUM(B41,C40)</f>
        <v>8.4174090685603956E-2</v>
      </c>
      <c r="C33">
        <f>ak*SUM(B40,C41)</f>
        <v>-0.55191892848773161</v>
      </c>
      <c r="F33">
        <v>0.215</v>
      </c>
      <c r="G33">
        <v>3.4996386723931183E-2</v>
      </c>
      <c r="H33">
        <v>6.2630471888328279E-2</v>
      </c>
    </row>
    <row r="34" spans="1:8">
      <c r="A34" t="s">
        <v>107</v>
      </c>
      <c r="B34">
        <f t="array" ref="B34:C35">-MINVERSE(B32:C33)</f>
        <v>2.8678797680402006</v>
      </c>
      <c r="C34">
        <v>0.65607780203843102</v>
      </c>
      <c r="F34">
        <v>0.22</v>
      </c>
      <c r="G34">
        <v>3.5311704929879839E-2</v>
      </c>
      <c r="H34">
        <v>5.9879701928461246E-2</v>
      </c>
    </row>
    <row r="35" spans="1:8">
      <c r="B35">
        <v>0.43738520135895415</v>
      </c>
      <c r="C35">
        <v>1.9119198453601338</v>
      </c>
      <c r="F35">
        <v>0.22500000000000001</v>
      </c>
      <c r="G35">
        <v>3.5613625472981032E-2</v>
      </c>
      <c r="H35">
        <v>5.7207609873364235E-2</v>
      </c>
    </row>
    <row r="36" spans="1:8">
      <c r="A36" t="s">
        <v>108</v>
      </c>
      <c r="B36">
        <f t="array" ref="B36:C36">MMULT(B31:C31,B34:C35)</f>
        <v>0.12783572288165393</v>
      </c>
      <c r="C36">
        <v>0.12783572288165393</v>
      </c>
      <c r="F36">
        <v>0.23</v>
      </c>
      <c r="G36">
        <v>3.5902532929549182E-2</v>
      </c>
      <c r="H36">
        <v>5.46115402095253E-2</v>
      </c>
    </row>
    <row r="37" spans="1:8">
      <c r="A37" t="s">
        <v>13</v>
      </c>
      <c r="B37" s="7">
        <f>f+fstp</f>
        <v>0.34982076959405362</v>
      </c>
      <c r="C37" s="7">
        <f>f+fstp</f>
        <v>0.34982076959405362</v>
      </c>
      <c r="F37">
        <v>0.23499999999999999</v>
      </c>
      <c r="G37">
        <v>3.6178798865511438E-2</v>
      </c>
      <c r="H37">
        <v>5.2088940217553781E-2</v>
      </c>
    </row>
    <row r="38" spans="1:8">
      <c r="F38">
        <v>0.24</v>
      </c>
      <c r="G38">
        <v>3.6442782338949993E-2</v>
      </c>
      <c r="H38">
        <v>4.9637355450713225E-2</v>
      </c>
    </row>
    <row r="39" spans="1:8">
      <c r="F39">
        <v>0.245</v>
      </c>
      <c r="G39">
        <v>3.6694830380600771E-2</v>
      </c>
      <c r="H39">
        <v>4.7254425436918768E-2</v>
      </c>
    </row>
    <row r="40" spans="1:8">
      <c r="A40" t="s">
        <v>9</v>
      </c>
      <c r="B40">
        <f>2*dre*phiq+2*re*dphiq+f*ddre*phiq+2*f*dre*dphiq+f*re*ddphiq</f>
        <v>-0.76996922606580975</v>
      </c>
      <c r="C40">
        <f>f*B27*phiq+2*f*B26*B24+f*re*B25</f>
        <v>0.18746842318667006</v>
      </c>
      <c r="F40">
        <v>0.25</v>
      </c>
      <c r="G40">
        <v>3.6935278453394414E-2</v>
      </c>
      <c r="H40">
        <v>4.4937879591918667E-2</v>
      </c>
    </row>
    <row r="41" spans="1:8">
      <c r="B41">
        <f>f*C27*phiq+2*f*C26*C24+f*re*C25</f>
        <v>2.2966803527339808E-2</v>
      </c>
      <c r="C41">
        <f>2*dre*phiq+2*re*dphiq+f*ddre*phiq+2*f*dre*dphiq+f*re*ddphiq</f>
        <v>-0.14989565474707625</v>
      </c>
      <c r="F41">
        <v>0.255</v>
      </c>
      <c r="G41">
        <v>3.7164450892066443E-2</v>
      </c>
      <c r="H41">
        <v>4.268553333212545E-2</v>
      </c>
    </row>
    <row r="42" spans="1:8">
      <c r="A42" t="s">
        <v>10</v>
      </c>
      <c r="B42">
        <f t="array" ref="B42:C43">-MINVERSE(B40:C41)</f>
        <v>1.3490805656911284</v>
      </c>
      <c r="C42">
        <v>1.6872404128634673</v>
      </c>
      <c r="F42">
        <v>0.26</v>
      </c>
      <c r="G42">
        <v>3.7382661323807589E-2</v>
      </c>
      <c r="H42">
        <v>4.049528437625427E-2</v>
      </c>
    </row>
    <row r="43" spans="1:8">
      <c r="B43">
        <v>0.20670424601074</v>
      </c>
      <c r="C43">
        <v>6.9298240887525395</v>
      </c>
      <c r="F43">
        <v>0.26500000000000001</v>
      </c>
      <c r="G43">
        <v>3.7590213070872514E-2</v>
      </c>
      <c r="H43">
        <v>3.8365109225574859E-2</v>
      </c>
    </row>
    <row r="44" spans="1:8">
      <c r="F44">
        <v>0.27</v>
      </c>
      <c r="G44">
        <v>3.7787399536015807E-2</v>
      </c>
      <c r="H44">
        <v>3.6293059813189837E-2</v>
      </c>
    </row>
    <row r="45" spans="1:8">
      <c r="A45" t="s">
        <v>65</v>
      </c>
      <c r="B45">
        <f t="array" ref="B45:C45">MMULT(B30:C30,B42:C43)</f>
        <v>8.5928783845405005E-2</v>
      </c>
      <c r="C45">
        <v>0.32015469055719581</v>
      </c>
      <c r="F45">
        <v>0.27500000000000002</v>
      </c>
      <c r="G45">
        <v>3.7974504571577639E-2</v>
      </c>
      <c r="H45">
        <v>3.4277260313317195E-2</v>
      </c>
    </row>
    <row r="46" spans="1:8">
      <c r="A46" s="5" t="s">
        <v>54</v>
      </c>
      <c r="B46" s="5">
        <f>f+dta</f>
        <v>0.30791383055780475</v>
      </c>
      <c r="C46" s="5">
        <f>f+dta</f>
        <v>0.54213973726959552</v>
      </c>
      <c r="F46">
        <v>0.28000000000000003</v>
      </c>
      <c r="G46">
        <v>3.8151802832997433E-2</v>
      </c>
      <c r="H46">
        <v>3.231590410208561E-2</v>
      </c>
    </row>
    <row r="47" spans="1:8">
      <c r="F47">
        <v>0.28499999999999998</v>
      </c>
      <c r="G47">
        <v>3.8319560117493628E-2</v>
      </c>
      <c r="H47">
        <v>3.0407250861850033E-2</v>
      </c>
    </row>
    <row r="48" spans="1:8">
      <c r="F48">
        <v>0.28999999999999998</v>
      </c>
      <c r="G48">
        <v>3.8478033688606916E-2</v>
      </c>
      <c r="H48">
        <v>2.8549623821491871E-2</v>
      </c>
    </row>
    <row r="49" spans="6:8">
      <c r="F49">
        <v>0.29499999999999998</v>
      </c>
      <c r="G49">
        <v>3.8627472587270451E-2</v>
      </c>
      <c r="H49">
        <v>2.6741407125614014E-2</v>
      </c>
    </row>
    <row r="50" spans="6:8">
      <c r="F50">
        <v>0.29999999999999899</v>
      </c>
      <c r="G50">
        <v>3.8768117930033361E-2</v>
      </c>
      <c r="H50">
        <v>2.4981043325937619E-2</v>
      </c>
    </row>
    <row r="51" spans="6:8">
      <c r="F51">
        <v>0.30499999999999999</v>
      </c>
      <c r="G51">
        <v>3.890020319503365E-2</v>
      </c>
      <c r="H51">
        <v>2.3267030988595186E-2</v>
      </c>
    </row>
    <row r="52" spans="6:8">
      <c r="F52">
        <v>0.309999999999999</v>
      </c>
      <c r="G52">
        <v>3.9023954496283736E-2</v>
      </c>
      <c r="H52">
        <v>2.1597922411378256E-2</v>
      </c>
    </row>
    <row r="53" spans="6:8">
      <c r="F53">
        <v>0.314999999999999</v>
      </c>
      <c r="G53">
        <v>3.9139590846805981E-2</v>
      </c>
      <c r="H53">
        <v>1.9972321445313468E-2</v>
      </c>
    </row>
    <row r="54" spans="6:8">
      <c r="F54">
        <v>0.31999999999999901</v>
      </c>
      <c r="G54">
        <v>3.9247324411124863E-2</v>
      </c>
      <c r="H54">
        <v>1.8388881415288605E-2</v>
      </c>
    </row>
    <row r="55" spans="6:8">
      <c r="F55">
        <v>0.32499999999999901</v>
      </c>
      <c r="G55">
        <v>3.9347360747599217E-2</v>
      </c>
      <c r="H55">
        <v>1.6846303134711638E-2</v>
      </c>
    </row>
    <row r="56" spans="6:8">
      <c r="F56">
        <v>0.32999999999999902</v>
      </c>
      <c r="G56">
        <v>3.943989904105287E-2</v>
      </c>
      <c r="H56">
        <v>1.5343333009489327E-2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Z56"/>
  <sheetViews>
    <sheetView zoomScale="125" zoomScaleNormal="125" zoomScalePageLayoutView="125" workbookViewId="0">
      <selection activeCell="D48" sqref="D48"/>
    </sheetView>
  </sheetViews>
  <sheetFormatPr baseColWidth="10" defaultRowHeight="15" x14ac:dyDescent="0"/>
  <cols>
    <col min="2" max="3" width="12.83203125" bestFit="1" customWidth="1"/>
    <col min="7" max="7" width="12.1640625" customWidth="1"/>
    <col min="8" max="23" width="7.33203125" customWidth="1"/>
    <col min="24" max="24" width="10.83203125" customWidth="1"/>
    <col min="25" max="25" width="13" customWidth="1"/>
    <col min="26" max="26" width="12.6640625" customWidth="1"/>
  </cols>
  <sheetData>
    <row r="1" spans="1:26">
      <c r="A1" t="s">
        <v>15</v>
      </c>
      <c r="B1">
        <v>1</v>
      </c>
      <c r="F1" t="s">
        <v>19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</row>
    <row r="2" spans="1:26">
      <c r="A2" t="s">
        <v>16</v>
      </c>
      <c r="B2">
        <v>0.75</v>
      </c>
      <c r="F2" t="s">
        <v>20</v>
      </c>
      <c r="G2">
        <f t="shared" ref="G2:Z2" si="0">(1-EXP(-vbk*G1))^3</f>
        <v>5.956242778945897E-3</v>
      </c>
      <c r="H2">
        <f t="shared" si="0"/>
        <v>3.5832542332544771E-2</v>
      </c>
      <c r="I2">
        <f t="shared" si="0"/>
        <v>9.1848839232940488E-2</v>
      </c>
      <c r="J2">
        <f t="shared" si="0"/>
        <v>0.16698470834288895</v>
      </c>
      <c r="K2">
        <f t="shared" si="0"/>
        <v>0.25258045782764715</v>
      </c>
      <c r="L2">
        <f t="shared" si="0"/>
        <v>0.34124750168433882</v>
      </c>
      <c r="M2">
        <f t="shared" si="0"/>
        <v>0.42764371923035677</v>
      </c>
      <c r="N2">
        <f t="shared" si="0"/>
        <v>0.50836731090211251</v>
      </c>
      <c r="O2">
        <f t="shared" si="0"/>
        <v>0.58155792173450538</v>
      </c>
      <c r="P2">
        <f t="shared" si="0"/>
        <v>0.64646231477969807</v>
      </c>
      <c r="Q2">
        <f t="shared" si="0"/>
        <v>0.70306217658465575</v>
      </c>
      <c r="R2">
        <f t="shared" si="0"/>
        <v>0.75178879547044597</v>
      </c>
      <c r="S2">
        <f t="shared" si="0"/>
        <v>0.79331922364030083</v>
      </c>
      <c r="T2">
        <f t="shared" si="0"/>
        <v>0.82843853594961614</v>
      </c>
      <c r="U2">
        <f t="shared" si="0"/>
        <v>0.85795164162232052</v>
      </c>
      <c r="V2">
        <f t="shared" si="0"/>
        <v>0.88263033114793243</v>
      </c>
      <c r="W2">
        <f t="shared" si="0"/>
        <v>0.90318434524387203</v>
      </c>
      <c r="X2">
        <f t="shared" si="0"/>
        <v>0.92024819057984131</v>
      </c>
      <c r="Y2">
        <f t="shared" si="0"/>
        <v>0.93437784324698259</v>
      </c>
      <c r="Z2">
        <f t="shared" si="0"/>
        <v>0.94605332700515155</v>
      </c>
    </row>
    <row r="3" spans="1:26">
      <c r="A3" t="s">
        <v>17</v>
      </c>
      <c r="B3">
        <f>1.5*vbk</f>
        <v>0.30000000000000004</v>
      </c>
      <c r="F3" t="s">
        <v>21</v>
      </c>
      <c r="G3">
        <f>IF(G2&gt;0.2,G2,0)</f>
        <v>0</v>
      </c>
      <c r="H3">
        <f t="shared" ref="H3:Z3" si="1">IF(H2&gt;0.2,H2,0)</f>
        <v>0</v>
      </c>
      <c r="I3">
        <f t="shared" si="1"/>
        <v>0</v>
      </c>
      <c r="J3">
        <f t="shared" si="1"/>
        <v>0</v>
      </c>
      <c r="K3">
        <f t="shared" si="1"/>
        <v>0.25258045782764715</v>
      </c>
      <c r="L3">
        <f t="shared" si="1"/>
        <v>0.34124750168433882</v>
      </c>
      <c r="M3">
        <f t="shared" si="1"/>
        <v>0.42764371923035677</v>
      </c>
      <c r="N3">
        <f t="shared" si="1"/>
        <v>0.50836731090211251</v>
      </c>
      <c r="O3">
        <f t="shared" si="1"/>
        <v>0.58155792173450538</v>
      </c>
      <c r="P3">
        <f t="shared" si="1"/>
        <v>0.64646231477969807</v>
      </c>
      <c r="Q3">
        <f t="shared" si="1"/>
        <v>0.70306217658465575</v>
      </c>
      <c r="R3">
        <f t="shared" si="1"/>
        <v>0.75178879547044597</v>
      </c>
      <c r="S3">
        <f t="shared" si="1"/>
        <v>0.79331922364030083</v>
      </c>
      <c r="T3">
        <f t="shared" si="1"/>
        <v>0.82843853594961614</v>
      </c>
      <c r="U3">
        <f t="shared" si="1"/>
        <v>0.85795164162232052</v>
      </c>
      <c r="V3">
        <f t="shared" si="1"/>
        <v>0.88263033114793243</v>
      </c>
      <c r="W3">
        <f t="shared" si="1"/>
        <v>0.90318434524387203</v>
      </c>
      <c r="X3">
        <f t="shared" si="1"/>
        <v>0.92024819057984131</v>
      </c>
      <c r="Y3">
        <f t="shared" si="1"/>
        <v>0.93437784324698259</v>
      </c>
      <c r="Z3">
        <f t="shared" si="1"/>
        <v>0.94605332700515155</v>
      </c>
    </row>
    <row r="4" spans="1:26">
      <c r="A4" t="s">
        <v>18</v>
      </c>
      <c r="B4">
        <v>0.2</v>
      </c>
      <c r="F4" t="s">
        <v>22</v>
      </c>
      <c r="G4">
        <f t="shared" ref="G4:Y4" si="2">EXP(-m)^(G1-1)</f>
        <v>1</v>
      </c>
      <c r="H4">
        <f t="shared" si="2"/>
        <v>0.74081822068171788</v>
      </c>
      <c r="I4">
        <f t="shared" si="2"/>
        <v>0.5488116360940265</v>
      </c>
      <c r="J4">
        <f t="shared" si="2"/>
        <v>0.40656965974059917</v>
      </c>
      <c r="K4">
        <f t="shared" si="2"/>
        <v>0.30119421191220219</v>
      </c>
      <c r="L4">
        <f t="shared" si="2"/>
        <v>0.2231301601484299</v>
      </c>
      <c r="M4">
        <f t="shared" si="2"/>
        <v>0.16529888822158662</v>
      </c>
      <c r="N4">
        <f t="shared" si="2"/>
        <v>0.12245642825298196</v>
      </c>
      <c r="O4">
        <f t="shared" si="2"/>
        <v>9.0717953289412567E-2</v>
      </c>
      <c r="P4">
        <f t="shared" si="2"/>
        <v>6.7205512739749812E-2</v>
      </c>
      <c r="Q4">
        <f t="shared" si="2"/>
        <v>4.9787068367863986E-2</v>
      </c>
      <c r="R4">
        <f t="shared" si="2"/>
        <v>3.6883167401240036E-2</v>
      </c>
      <c r="S4">
        <f t="shared" si="2"/>
        <v>2.732372244729259E-2</v>
      </c>
      <c r="T4">
        <f t="shared" si="2"/>
        <v>2.0241911445804409E-2</v>
      </c>
      <c r="U4">
        <f t="shared" si="2"/>
        <v>1.4995576820477724E-2</v>
      </c>
      <c r="V4">
        <f t="shared" si="2"/>
        <v>1.1108996538242318E-2</v>
      </c>
      <c r="W4">
        <f t="shared" si="2"/>
        <v>8.2297470490200406E-3</v>
      </c>
      <c r="X4">
        <f t="shared" si="2"/>
        <v>6.0967465655156448E-3</v>
      </c>
      <c r="Y4">
        <f t="shared" si="2"/>
        <v>4.5165809426126746E-3</v>
      </c>
      <c r="Z4">
        <f>EXP(-m)^(Z1-1)/(1-EXP(-m))</f>
        <v>1.2909724851307328E-2</v>
      </c>
    </row>
    <row r="5" spans="1:26">
      <c r="B5" t="s">
        <v>30</v>
      </c>
      <c r="C5" t="s">
        <v>32</v>
      </c>
      <c r="D5" t="s">
        <v>67</v>
      </c>
      <c r="E5" t="s">
        <v>42</v>
      </c>
      <c r="G5">
        <f>0.5/(1+EXP(-(G1-15)/0.5))</f>
        <v>3.4572000534677115E-13</v>
      </c>
      <c r="H5">
        <f t="shared" ref="H5:Z5" si="3">0.5/(1+EXP(-(H1-15)/0.5))</f>
        <v>2.5545445140186106E-12</v>
      </c>
      <c r="I5">
        <f t="shared" si="3"/>
        <v>1.8875672720682908E-11</v>
      </c>
      <c r="J5">
        <f t="shared" si="3"/>
        <v>1.3947340460454057E-10</v>
      </c>
      <c r="K5">
        <f t="shared" si="3"/>
        <v>1.0305768090951019E-9</v>
      </c>
      <c r="L5">
        <f t="shared" si="3"/>
        <v>7.6149897563801747E-9</v>
      </c>
      <c r="M5">
        <f t="shared" si="3"/>
        <v>5.6267581027547497E-8</v>
      </c>
      <c r="N5">
        <f t="shared" si="3"/>
        <v>4.1576401383206604E-7</v>
      </c>
      <c r="O5">
        <f t="shared" si="3"/>
        <v>3.0720873011073591E-6</v>
      </c>
      <c r="P5">
        <f t="shared" si="3"/>
        <v>2.2698934351217197E-5</v>
      </c>
      <c r="Q5">
        <f t="shared" si="3"/>
        <v>1.6767506523323905E-4</v>
      </c>
      <c r="R5">
        <f t="shared" si="3"/>
        <v>1.2363115783173872E-3</v>
      </c>
      <c r="S5">
        <f t="shared" si="3"/>
        <v>8.9931049810457794E-3</v>
      </c>
      <c r="T5">
        <f t="shared" si="3"/>
        <v>5.9601461011058773E-2</v>
      </c>
      <c r="U5">
        <f t="shared" si="3"/>
        <v>0.25</v>
      </c>
      <c r="V5">
        <f t="shared" si="3"/>
        <v>0.44039853898894116</v>
      </c>
      <c r="W5">
        <f t="shared" si="3"/>
        <v>0.49100689501895423</v>
      </c>
      <c r="X5">
        <f t="shared" si="3"/>
        <v>0.49876368842168267</v>
      </c>
      <c r="Y5">
        <f t="shared" si="3"/>
        <v>0.49983232493476681</v>
      </c>
      <c r="Z5">
        <f t="shared" si="3"/>
        <v>0.4999773010656488</v>
      </c>
    </row>
    <row r="6" spans="1:26">
      <c r="A6" t="s">
        <v>27</v>
      </c>
      <c r="B6" s="6">
        <v>0.1</v>
      </c>
      <c r="C6">
        <f>fbar*lambda</f>
        <v>0.2406542626817135</v>
      </c>
      <c r="D6">
        <f>B6-dh</f>
        <v>9.9990000000000009E-2</v>
      </c>
      <c r="E6">
        <v>4</v>
      </c>
      <c r="F6" t="s">
        <v>24</v>
      </c>
      <c r="G6">
        <f t="shared" ref="G6:Z6" si="4">1/(1+EXP(-(G1-ah)/(0.5*ah)))</f>
        <v>0.18242552380635635</v>
      </c>
      <c r="H6">
        <f t="shared" si="4"/>
        <v>0.2689414213699951</v>
      </c>
      <c r="I6">
        <f t="shared" si="4"/>
        <v>0.37754066879814541</v>
      </c>
      <c r="J6">
        <f t="shared" si="4"/>
        <v>0.5</v>
      </c>
      <c r="K6">
        <f t="shared" si="4"/>
        <v>0.62245933120185459</v>
      </c>
      <c r="L6">
        <f t="shared" si="4"/>
        <v>0.7310585786300049</v>
      </c>
      <c r="M6">
        <f t="shared" si="4"/>
        <v>0.81757447619364365</v>
      </c>
      <c r="N6">
        <f t="shared" si="4"/>
        <v>0.88079707797788231</v>
      </c>
      <c r="O6">
        <f t="shared" si="4"/>
        <v>0.92414181997875655</v>
      </c>
      <c r="P6">
        <f t="shared" si="4"/>
        <v>0.95257412682243336</v>
      </c>
      <c r="Q6">
        <f t="shared" si="4"/>
        <v>0.97068776924864364</v>
      </c>
      <c r="R6">
        <f t="shared" si="4"/>
        <v>0.98201379003790845</v>
      </c>
      <c r="S6">
        <f t="shared" si="4"/>
        <v>0.98901305736940681</v>
      </c>
      <c r="T6">
        <f t="shared" si="4"/>
        <v>0.99330714907571527</v>
      </c>
      <c r="U6">
        <f t="shared" si="4"/>
        <v>0.99592986228410396</v>
      </c>
      <c r="V6">
        <f t="shared" si="4"/>
        <v>0.99752737684336534</v>
      </c>
      <c r="W6">
        <f t="shared" si="4"/>
        <v>0.99849881774326299</v>
      </c>
      <c r="X6">
        <f t="shared" si="4"/>
        <v>0.9990889488055994</v>
      </c>
      <c r="Y6">
        <f t="shared" si="4"/>
        <v>0.9994472213630764</v>
      </c>
      <c r="Z6">
        <f t="shared" si="4"/>
        <v>0.99966464986953363</v>
      </c>
    </row>
    <row r="7" spans="1:26">
      <c r="A7" t="s">
        <v>28</v>
      </c>
      <c r="B7" s="6">
        <v>0.1</v>
      </c>
      <c r="C7">
        <f>B7</f>
        <v>0.1</v>
      </c>
      <c r="D7">
        <f>C7</f>
        <v>0.1</v>
      </c>
      <c r="E7">
        <v>7</v>
      </c>
      <c r="G7">
        <f t="shared" ref="G7:Z7" si="5">1/(1+EXP(-(G1-ah)/(0.5*ah)))</f>
        <v>0.15260866484263105</v>
      </c>
      <c r="H7">
        <f t="shared" si="5"/>
        <v>0.19332136980230871</v>
      </c>
      <c r="I7">
        <f t="shared" si="5"/>
        <v>0.24179617240741008</v>
      </c>
      <c r="J7">
        <f t="shared" si="5"/>
        <v>0.29793663012107041</v>
      </c>
      <c r="K7">
        <f t="shared" si="5"/>
        <v>0.36090725483714875</v>
      </c>
      <c r="L7">
        <f t="shared" si="5"/>
        <v>0.42905340311653367</v>
      </c>
      <c r="M7">
        <f t="shared" si="5"/>
        <v>0.5</v>
      </c>
      <c r="N7">
        <f t="shared" si="5"/>
        <v>0.57094659688346627</v>
      </c>
      <c r="O7">
        <f t="shared" si="5"/>
        <v>0.63909274516285119</v>
      </c>
      <c r="P7">
        <f t="shared" si="5"/>
        <v>0.70206336987892959</v>
      </c>
      <c r="Q7">
        <f t="shared" si="5"/>
        <v>0.75820382759258997</v>
      </c>
      <c r="R7">
        <f t="shared" si="5"/>
        <v>0.80667863019769126</v>
      </c>
      <c r="S7">
        <f t="shared" si="5"/>
        <v>0.84739133515736886</v>
      </c>
      <c r="T7">
        <f t="shared" si="5"/>
        <v>0.88079707797788231</v>
      </c>
      <c r="U7">
        <f t="shared" si="5"/>
        <v>0.90768697124770192</v>
      </c>
      <c r="V7">
        <f t="shared" si="5"/>
        <v>0.92899998084920088</v>
      </c>
      <c r="W7">
        <f t="shared" si="5"/>
        <v>0.94568673386735935</v>
      </c>
      <c r="X7">
        <f t="shared" si="5"/>
        <v>0.9586263489399246</v>
      </c>
      <c r="Y7">
        <f t="shared" si="5"/>
        <v>0.96858562896842981</v>
      </c>
      <c r="Z7">
        <f t="shared" si="5"/>
        <v>0.97620705760183546</v>
      </c>
    </row>
    <row r="8" spans="1:26">
      <c r="A8" t="s">
        <v>47</v>
      </c>
      <c r="B8">
        <f>4*h/(1-h)</f>
        <v>12</v>
      </c>
      <c r="C8" t="s">
        <v>36</v>
      </c>
      <c r="F8" t="s">
        <v>35</v>
      </c>
      <c r="G8">
        <f t="shared" ref="G8:Z8" si="6">m+SUMPRODUCT(fe,G6:G7)</f>
        <v>0.33350341886489876</v>
      </c>
      <c r="H8">
        <f t="shared" si="6"/>
        <v>0.34622627911723042</v>
      </c>
      <c r="I8">
        <f t="shared" si="6"/>
        <v>0.3619336841205556</v>
      </c>
      <c r="J8">
        <f t="shared" si="6"/>
        <v>0.3797936630121071</v>
      </c>
      <c r="K8">
        <f t="shared" si="6"/>
        <v>0.39833665860390038</v>
      </c>
      <c r="L8">
        <f t="shared" si="6"/>
        <v>0.41601119817465393</v>
      </c>
      <c r="M8">
        <f t="shared" si="6"/>
        <v>0.43175744761936441</v>
      </c>
      <c r="N8">
        <f t="shared" si="6"/>
        <v>0.44517436748613493</v>
      </c>
      <c r="O8">
        <f t="shared" si="6"/>
        <v>0.45632345651416084</v>
      </c>
      <c r="P8">
        <f t="shared" si="6"/>
        <v>0.46546374967013637</v>
      </c>
      <c r="Q8">
        <f t="shared" si="6"/>
        <v>0.47288915968412343</v>
      </c>
      <c r="R8">
        <f t="shared" si="6"/>
        <v>0.47886924202356002</v>
      </c>
      <c r="S8">
        <f t="shared" si="6"/>
        <v>0.48364043925267763</v>
      </c>
      <c r="T8">
        <f t="shared" si="6"/>
        <v>0.48741042270535984</v>
      </c>
      <c r="U8">
        <f t="shared" si="6"/>
        <v>0.49036168335318064</v>
      </c>
      <c r="V8">
        <f t="shared" si="6"/>
        <v>0.49265273576925667</v>
      </c>
      <c r="W8">
        <f t="shared" si="6"/>
        <v>0.49441855516106226</v>
      </c>
      <c r="X8">
        <f t="shared" si="6"/>
        <v>0.49577152977455247</v>
      </c>
      <c r="Y8">
        <f t="shared" si="6"/>
        <v>0.49680328503315069</v>
      </c>
      <c r="Z8">
        <f t="shared" si="6"/>
        <v>0.49758717074713699</v>
      </c>
    </row>
    <row r="9" spans="1:26">
      <c r="A9" t="s">
        <v>68</v>
      </c>
      <c r="B9" s="6">
        <v>0.5</v>
      </c>
      <c r="C9" s="6">
        <f>1-B9</f>
        <v>0.5</v>
      </c>
      <c r="F9" s="7" t="s">
        <v>60</v>
      </c>
      <c r="G9" s="7">
        <f t="shared" ref="G9:Z9" si="7">EXP(-za)</f>
        <v>0.71640944932865813</v>
      </c>
      <c r="H9" s="7">
        <f t="shared" si="7"/>
        <v>0.70735240991723525</v>
      </c>
      <c r="I9" s="7">
        <f t="shared" si="7"/>
        <v>0.69632854395042376</v>
      </c>
      <c r="J9" s="7">
        <f t="shared" si="7"/>
        <v>0.68400252967435382</v>
      </c>
      <c r="K9" s="7">
        <f t="shared" si="7"/>
        <v>0.67143594491996961</v>
      </c>
      <c r="L9" s="7">
        <f t="shared" si="7"/>
        <v>0.65967288331086593</v>
      </c>
      <c r="M9" s="7">
        <f t="shared" si="7"/>
        <v>0.64936686306356928</v>
      </c>
      <c r="N9" s="7">
        <f t="shared" si="7"/>
        <v>0.64071254685550372</v>
      </c>
      <c r="O9" s="7">
        <f t="shared" si="7"/>
        <v>0.63360885903670605</v>
      </c>
      <c r="P9" s="7">
        <f t="shared" si="7"/>
        <v>0.62784387527591567</v>
      </c>
      <c r="Q9" s="7">
        <f t="shared" si="7"/>
        <v>0.62319914293947665</v>
      </c>
      <c r="R9" s="7">
        <f t="shared" si="7"/>
        <v>0.61948348180369328</v>
      </c>
      <c r="S9" s="7">
        <f t="shared" si="7"/>
        <v>0.61653484379222601</v>
      </c>
      <c r="T9" s="7">
        <f t="shared" si="7"/>
        <v>0.61421489346803759</v>
      </c>
      <c r="U9" s="7">
        <f t="shared" si="7"/>
        <v>0.61240485748140427</v>
      </c>
      <c r="V9" s="7">
        <f t="shared" si="7"/>
        <v>0.61100341185875118</v>
      </c>
      <c r="W9" s="7">
        <f t="shared" si="7"/>
        <v>0.60992544221558442</v>
      </c>
      <c r="X9" s="7">
        <f t="shared" si="7"/>
        <v>0.60910078657101807</v>
      </c>
      <c r="Y9" s="7">
        <f t="shared" si="7"/>
        <v>0.60847266771964148</v>
      </c>
      <c r="Z9" s="7">
        <f t="shared" si="7"/>
        <v>0.60799588158539908</v>
      </c>
    </row>
    <row r="10" spans="1:26">
      <c r="A10" t="s">
        <v>69</v>
      </c>
      <c r="B10">
        <f>Ye/SUM(Ye)</f>
        <v>0.60470507762767078</v>
      </c>
      <c r="C10">
        <f>Ye/SUM(Ye)</f>
        <v>0.39529492237232916</v>
      </c>
      <c r="F10" t="s">
        <v>61</v>
      </c>
      <c r="G10">
        <f t="shared" ref="G10:Z10" si="8">1-sa</f>
        <v>0.28359055067134187</v>
      </c>
      <c r="H10">
        <f t="shared" si="8"/>
        <v>0.29264759008276475</v>
      </c>
      <c r="I10">
        <f t="shared" si="8"/>
        <v>0.30367145604957624</v>
      </c>
      <c r="J10">
        <f t="shared" si="8"/>
        <v>0.31599747032564618</v>
      </c>
      <c r="K10">
        <f t="shared" si="8"/>
        <v>0.32856405508003039</v>
      </c>
      <c r="L10">
        <f t="shared" si="8"/>
        <v>0.34032711668913407</v>
      </c>
      <c r="M10">
        <f t="shared" si="8"/>
        <v>0.35063313693643072</v>
      </c>
      <c r="N10">
        <f t="shared" si="8"/>
        <v>0.35928745314449628</v>
      </c>
      <c r="O10">
        <f t="shared" si="8"/>
        <v>0.36639114096329395</v>
      </c>
      <c r="P10">
        <f t="shared" si="8"/>
        <v>0.37215612472408433</v>
      </c>
      <c r="Q10">
        <f t="shared" si="8"/>
        <v>0.37680085706052335</v>
      </c>
      <c r="R10">
        <f t="shared" si="8"/>
        <v>0.38051651819630672</v>
      </c>
      <c r="S10">
        <f t="shared" si="8"/>
        <v>0.38346515620777399</v>
      </c>
      <c r="T10">
        <f t="shared" si="8"/>
        <v>0.38578510653196241</v>
      </c>
      <c r="U10">
        <f t="shared" si="8"/>
        <v>0.38759514251859573</v>
      </c>
      <c r="V10">
        <f t="shared" si="8"/>
        <v>0.38899658814124882</v>
      </c>
      <c r="W10">
        <f t="shared" si="8"/>
        <v>0.39007455778441558</v>
      </c>
      <c r="X10">
        <f t="shared" si="8"/>
        <v>0.39089921342898193</v>
      </c>
      <c r="Y10">
        <f t="shared" si="8"/>
        <v>0.39152733228035852</v>
      </c>
      <c r="Z10">
        <f t="shared" si="8"/>
        <v>0.39200411841460092</v>
      </c>
    </row>
    <row r="11" spans="1:26">
      <c r="A11" t="s">
        <v>70</v>
      </c>
      <c r="B11">
        <f>ak/pk</f>
        <v>0.8268493493746718</v>
      </c>
      <c r="C11">
        <f>ak/pk</f>
        <v>1.2648783773879313</v>
      </c>
      <c r="F11" t="s">
        <v>40</v>
      </c>
      <c r="G11">
        <f t="shared" ref="G11:Z11" si="9">wa*G6/za*(1-EXP(-za))</f>
        <v>9.2395210435842394E-4</v>
      </c>
      <c r="H11">
        <f>wa*H6/za*(1-EXP(-za))</f>
        <v>8.1455467787305367E-3</v>
      </c>
      <c r="I11">
        <f t="shared" si="9"/>
        <v>2.9094599363383707E-2</v>
      </c>
      <c r="J11">
        <f t="shared" si="9"/>
        <v>6.9467648565974927E-2</v>
      </c>
      <c r="K11">
        <f t="shared" si="9"/>
        <v>0.12968223948147312</v>
      </c>
      <c r="L11">
        <f t="shared" si="9"/>
        <v>0.20408598951982804</v>
      </c>
      <c r="M11">
        <f t="shared" si="9"/>
        <v>0.2839373614235669</v>
      </c>
      <c r="N11">
        <f t="shared" si="9"/>
        <v>0.36138105620652572</v>
      </c>
      <c r="O11">
        <f t="shared" si="9"/>
        <v>0.43152282308462953</v>
      </c>
      <c r="P11">
        <f t="shared" si="9"/>
        <v>0.492358342809875</v>
      </c>
      <c r="Q11">
        <f t="shared" si="9"/>
        <v>0.54378323654859362</v>
      </c>
      <c r="R11">
        <f t="shared" si="9"/>
        <v>0.5866377501840554</v>
      </c>
      <c r="S11">
        <f t="shared" si="9"/>
        <v>0.62209012047584122</v>
      </c>
      <c r="T11">
        <f t="shared" si="9"/>
        <v>0.65132012761731128</v>
      </c>
      <c r="U11">
        <f t="shared" si="9"/>
        <v>0.67538803509434875</v>
      </c>
      <c r="V11">
        <f t="shared" si="9"/>
        <v>0.69519808100477898</v>
      </c>
      <c r="W11">
        <f t="shared" si="9"/>
        <v>0.71150313843529855</v>
      </c>
      <c r="X11">
        <f t="shared" si="9"/>
        <v>0.72492377037657374</v>
      </c>
      <c r="Y11">
        <f t="shared" si="9"/>
        <v>0.73596984932868981</v>
      </c>
      <c r="Z11">
        <f t="shared" si="9"/>
        <v>0.74506027354520687</v>
      </c>
    </row>
    <row r="12" spans="1:26">
      <c r="B12">
        <f>lambda/AVERAGE(lambda)</f>
        <v>0.79058984474465843</v>
      </c>
      <c r="C12">
        <f>lambda/AVERAGE(lambda)</f>
        <v>1.2094101552553416</v>
      </c>
      <c r="G12">
        <f t="shared" ref="G12:Z12" si="10">wa*G7/za*(1-EXP(-za))</f>
        <v>7.7293513584399717E-4</v>
      </c>
      <c r="H12">
        <f t="shared" si="10"/>
        <v>5.8552091121976037E-3</v>
      </c>
      <c r="I12">
        <f t="shared" si="10"/>
        <v>1.8633655511042544E-2</v>
      </c>
      <c r="J12">
        <f t="shared" si="10"/>
        <v>4.1393914232362758E-2</v>
      </c>
      <c r="K12">
        <f t="shared" si="10"/>
        <v>7.5190873855202192E-2</v>
      </c>
      <c r="L12">
        <f t="shared" si="10"/>
        <v>0.11977670585027667</v>
      </c>
      <c r="M12">
        <f t="shared" si="10"/>
        <v>0.173646175175065</v>
      </c>
      <c r="N12">
        <f t="shared" si="10"/>
        <v>0.23425291633909079</v>
      </c>
      <c r="O12">
        <f t="shared" si="10"/>
        <v>0.29842076144970775</v>
      </c>
      <c r="P12">
        <f t="shared" si="10"/>
        <v>0.36287649182134546</v>
      </c>
      <c r="Q12">
        <f t="shared" si="10"/>
        <v>0.42474886816691654</v>
      </c>
      <c r="R12">
        <f t="shared" si="10"/>
        <v>0.48189561240526091</v>
      </c>
      <c r="S12">
        <f t="shared" si="10"/>
        <v>0.5330099272706913</v>
      </c>
      <c r="T12">
        <f t="shared" si="10"/>
        <v>0.57754629649784195</v>
      </c>
      <c r="U12">
        <f t="shared" si="10"/>
        <v>0.61554627811415785</v>
      </c>
      <c r="V12">
        <f t="shared" si="10"/>
        <v>0.64743987877663278</v>
      </c>
      <c r="W12">
        <f t="shared" si="10"/>
        <v>0.67387068183415799</v>
      </c>
      <c r="X12">
        <f t="shared" si="10"/>
        <v>0.69556472232691802</v>
      </c>
      <c r="Y12">
        <f t="shared" si="10"/>
        <v>0.71324408550721008</v>
      </c>
      <c r="Z12">
        <f t="shared" si="10"/>
        <v>0.72757709044579044</v>
      </c>
    </row>
    <row r="13" spans="1:26">
      <c r="A13" t="s">
        <v>71</v>
      </c>
      <c r="B13">
        <f>fbar*B12</f>
        <v>0.15041668793767735</v>
      </c>
      <c r="C13">
        <f>fbar*C12</f>
        <v>0.23010094440367487</v>
      </c>
    </row>
    <row r="14" spans="1:26">
      <c r="A14" t="s">
        <v>29</v>
      </c>
      <c r="B14" s="2">
        <v>1.0000000000000001E-5</v>
      </c>
      <c r="F14" t="s">
        <v>25</v>
      </c>
      <c r="G14">
        <f>1</f>
        <v>1</v>
      </c>
      <c r="H14">
        <f>G14*EXP(-m-SUMPRODUCT(G$6:G$7,$B$6:$B$7))</f>
        <v>0.71640944932865813</v>
      </c>
      <c r="I14">
        <f t="shared" ref="I14:Y14" si="11">H14*EXP(-m-SUMPRODUCT(H$6:H$7,$B$6:$B$7))</f>
        <v>0.50675395047010574</v>
      </c>
      <c r="J14">
        <f t="shared" si="11"/>
        <v>0.35286724047197388</v>
      </c>
      <c r="K14">
        <f t="shared" si="11"/>
        <v>0.24136208512203866</v>
      </c>
      <c r="L14">
        <f t="shared" si="11"/>
        <v>0.16205917969177017</v>
      </c>
      <c r="M14">
        <f t="shared" si="11"/>
        <v>0.10690604633426376</v>
      </c>
      <c r="N14">
        <f t="shared" si="11"/>
        <v>6.9421243950609446E-2</v>
      </c>
      <c r="O14">
        <f t="shared" si="11"/>
        <v>4.4479062017472211E-2</v>
      </c>
      <c r="P14">
        <f t="shared" si="11"/>
        <v>2.8182327735913455E-2</v>
      </c>
      <c r="Q14">
        <f t="shared" si="11"/>
        <v>1.7694101860011826E-2</v>
      </c>
      <c r="R14">
        <f t="shared" si="11"/>
        <v>1.102694911424317E-2</v>
      </c>
      <c r="S14">
        <f t="shared" si="11"/>
        <v>6.8310128309635107E-3</v>
      </c>
      <c r="T14">
        <f t="shared" si="11"/>
        <v>4.2115574286807796E-3</v>
      </c>
      <c r="U14">
        <f t="shared" si="11"/>
        <v>2.5868012973916873E-3</v>
      </c>
      <c r="V14">
        <f t="shared" si="11"/>
        <v>1.584169679861868E-3</v>
      </c>
      <c r="W14">
        <f t="shared" si="11"/>
        <v>9.6793307935878693E-4</v>
      </c>
      <c r="X14">
        <f t="shared" si="11"/>
        <v>5.9036701146300053E-4</v>
      </c>
      <c r="Y14">
        <f t="shared" si="11"/>
        <v>3.5959301104769489E-4</v>
      </c>
      <c r="Z14">
        <f>Y14*EXP(-m-SUMPRODUCT(Y$6:Y$7,$B$6:$B$7))/(1-EXP(-m-SUMPRODUCT(B$6:B$7,Z6:Z7)))</f>
        <v>5.5816382646805304E-4</v>
      </c>
    </row>
    <row r="15" spans="1:26">
      <c r="A15" t="s">
        <v>75</v>
      </c>
      <c r="B15">
        <v>1</v>
      </c>
      <c r="C15">
        <v>1</v>
      </c>
      <c r="F15" t="s">
        <v>26</v>
      </c>
      <c r="G15">
        <f>1</f>
        <v>1</v>
      </c>
      <c r="H15">
        <f t="shared" ref="H15:Y15" si="12">G15*EXP(-m-SUMPRODUCT(G$6:G$7,$C$6:$C$7))</f>
        <v>0.69826098198545472</v>
      </c>
      <c r="I15">
        <f t="shared" si="12"/>
        <v>0.47558179975962273</v>
      </c>
      <c r="J15">
        <f t="shared" si="12"/>
        <v>0.31403439169594038</v>
      </c>
      <c r="K15">
        <f t="shared" si="12"/>
        <v>0.20021298266431431</v>
      </c>
      <c r="L15">
        <f t="shared" si="12"/>
        <v>0.12316112979027531</v>
      </c>
      <c r="M15">
        <f t="shared" si="12"/>
        <v>7.3306977315344218E-2</v>
      </c>
      <c r="N15">
        <f t="shared" si="12"/>
        <v>4.2432009144946999E-2</v>
      </c>
      <c r="O15">
        <f t="shared" si="12"/>
        <v>2.4018894201588266E-2</v>
      </c>
      <c r="P15">
        <f t="shared" si="12"/>
        <v>1.3363576524415293E-2</v>
      </c>
      <c r="Q15">
        <f t="shared" si="12"/>
        <v>7.3381405177668935E-3</v>
      </c>
      <c r="R15">
        <f t="shared" si="12"/>
        <v>3.9894961427511108E-3</v>
      </c>
      <c r="S15">
        <f t="shared" si="12"/>
        <v>2.1525889388133487E-3</v>
      </c>
      <c r="T15">
        <f t="shared" si="12"/>
        <v>1.1547939545046859E-3</v>
      </c>
      <c r="U15">
        <f t="shared" si="12"/>
        <v>6.168056024502454E-4</v>
      </c>
      <c r="V15">
        <f t="shared" si="12"/>
        <v>3.2835995862759231E-4</v>
      </c>
      <c r="W15">
        <f t="shared" si="12"/>
        <v>1.7436507406295052E-4</v>
      </c>
      <c r="X15">
        <f t="shared" si="12"/>
        <v>9.2415023540416322E-5</v>
      </c>
      <c r="Y15">
        <f t="shared" si="12"/>
        <v>4.8910490769615902E-5</v>
      </c>
      <c r="Z15">
        <f>Y15*EXP(-m-SUMPRODUCT(Y$6:Y$7,$C$6:$C$7))/(1-EXP(-m-SUMPRODUCT(C$6:C$7,Z6:Z7)))</f>
        <v>5.481196605646795E-5</v>
      </c>
    </row>
    <row r="16" spans="1:26">
      <c r="F16" t="s">
        <v>66</v>
      </c>
      <c r="G16">
        <f>1</f>
        <v>1</v>
      </c>
      <c r="H16">
        <f t="shared" ref="H16:Y16" si="13">G16*EXP(-m-SUMPRODUCT(G$6:G$7,$D$6:$D$7))</f>
        <v>0.71641075624354078</v>
      </c>
      <c r="I16">
        <f t="shared" si="13"/>
        <v>0.50675623779509371</v>
      </c>
      <c r="J16">
        <f t="shared" si="13"/>
        <v>0.35287016542752003</v>
      </c>
      <c r="K16">
        <f t="shared" si="13"/>
        <v>0.24136529262247744</v>
      </c>
      <c r="L16">
        <f t="shared" si="13"/>
        <v>0.16206234209188924</v>
      </c>
      <c r="M16">
        <f t="shared" si="13"/>
        <v>0.10690891404779912</v>
      </c>
      <c r="N16">
        <f t="shared" si="13"/>
        <v>6.9423673736668731E-2</v>
      </c>
      <c r="O16">
        <f t="shared" si="13"/>
        <v>4.4481010597602746E-2</v>
      </c>
      <c r="P16">
        <f t="shared" si="13"/>
        <v>2.8183822830836452E-2</v>
      </c>
      <c r="Q16">
        <f t="shared" si="13"/>
        <v>1.7695209105382984E-2</v>
      </c>
      <c r="R16">
        <f t="shared" si="13"/>
        <v>1.1027746193073482E-2</v>
      </c>
      <c r="S16">
        <f t="shared" si="13"/>
        <v>6.8315736947989428E-3</v>
      </c>
      <c r="T16">
        <f t="shared" si="13"/>
        <v>4.2119448772567573E-3</v>
      </c>
      <c r="U16">
        <f t="shared" si="13"/>
        <v>2.5870649714511917E-3</v>
      </c>
      <c r="V16">
        <f t="shared" si="13"/>
        <v>1.5843469340423651E-3</v>
      </c>
      <c r="W16">
        <f t="shared" si="13"/>
        <v>9.680510387938073E-4</v>
      </c>
      <c r="X16">
        <f t="shared" si="13"/>
        <v>5.904448534790166E-4</v>
      </c>
      <c r="Y16">
        <f t="shared" si="13"/>
        <v>3.5964401782656634E-4</v>
      </c>
      <c r="Z16">
        <f>Y16*EXP(-m-SUMPRODUCT(Y$6:Y$7,$D$6:$D$7))/(1-EXP(-m-SUMPRODUCT(D$6:D$7,Z6:Z7)))</f>
        <v>5.5825723474011454E-4</v>
      </c>
    </row>
    <row r="17" spans="1:26">
      <c r="A17" t="s">
        <v>51</v>
      </c>
      <c r="B17">
        <f>ro*(reck-phie/phif)/(reck-1)</f>
        <v>0.91536411361213221</v>
      </c>
      <c r="F17" s="3" t="s">
        <v>31</v>
      </c>
      <c r="G17" s="3">
        <f>(G14-G15)/dh</f>
        <v>0</v>
      </c>
      <c r="H17" s="3">
        <f t="shared" ref="H17:Z17" si="14">(H15-H14)/dh</f>
        <v>-1814.8467343203411</v>
      </c>
      <c r="I17" s="3">
        <f t="shared" si="14"/>
        <v>-3117.2150710483011</v>
      </c>
      <c r="J17" s="3">
        <f t="shared" si="14"/>
        <v>-3883.2848776033488</v>
      </c>
      <c r="K17" s="3">
        <f t="shared" si="14"/>
        <v>-4114.9102457724348</v>
      </c>
      <c r="L17" s="3">
        <f t="shared" si="14"/>
        <v>-3889.8049901494851</v>
      </c>
      <c r="M17" s="3">
        <f t="shared" si="14"/>
        <v>-3359.906901891954</v>
      </c>
      <c r="N17" s="3">
        <f t="shared" si="14"/>
        <v>-2698.9234805662445</v>
      </c>
      <c r="O17" s="3">
        <f t="shared" si="14"/>
        <v>-2046.0167815883945</v>
      </c>
      <c r="P17" s="3">
        <f t="shared" si="14"/>
        <v>-1481.8751211498161</v>
      </c>
      <c r="Q17" s="3">
        <f t="shared" si="14"/>
        <v>-1035.5961342244932</v>
      </c>
      <c r="R17" s="3">
        <f t="shared" si="14"/>
        <v>-703.74529714920584</v>
      </c>
      <c r="S17" s="3">
        <f t="shared" si="14"/>
        <v>-467.84238921501617</v>
      </c>
      <c r="T17" s="3">
        <f t="shared" si="14"/>
        <v>-305.67634741760935</v>
      </c>
      <c r="U17" s="3">
        <f t="shared" si="14"/>
        <v>-196.9995694941442</v>
      </c>
      <c r="V17" s="3">
        <f t="shared" si="14"/>
        <v>-125.58097212342756</v>
      </c>
      <c r="W17" s="3">
        <f t="shared" si="14"/>
        <v>-79.356800529583637</v>
      </c>
      <c r="X17" s="3">
        <f t="shared" si="14"/>
        <v>-49.795198792258411</v>
      </c>
      <c r="Y17" s="3">
        <f>(Y15-Y14)/dh</f>
        <v>-31.068252027807894</v>
      </c>
      <c r="Z17" s="3">
        <f t="shared" si="14"/>
        <v>-50.335186041158501</v>
      </c>
    </row>
    <row r="18" spans="1:26">
      <c r="A18" t="s">
        <v>37</v>
      </c>
      <c r="B18">
        <f>SUMPRODUCT(lx,fa)</f>
        <v>0.53468880128210072</v>
      </c>
      <c r="F18" t="s">
        <v>33</v>
      </c>
      <c r="G18">
        <f>0</f>
        <v>0</v>
      </c>
      <c r="H18">
        <f t="shared" ref="H18:Y18" si="15">G18*EXP(-G8) - G14*G6*EXP(-G8)</f>
        <v>-0.13069136905360376</v>
      </c>
      <c r="I18">
        <f t="shared" si="15"/>
        <v>-0.22873198257973973</v>
      </c>
      <c r="J18">
        <f t="shared" si="15"/>
        <v>-0.29249434234938887</v>
      </c>
      <c r="K18">
        <f t="shared" si="15"/>
        <v>-0.32074791264343783</v>
      </c>
      <c r="L18">
        <f t="shared" si="15"/>
        <v>-0.31623692641291501</v>
      </c>
      <c r="M18">
        <f t="shared" si="15"/>
        <v>-0.28676750733625411</v>
      </c>
      <c r="N18">
        <f t="shared" si="15"/>
        <v>-0.24297435382713312</v>
      </c>
      <c r="O18">
        <f t="shared" si="15"/>
        <v>-0.19485374491733931</v>
      </c>
      <c r="P18">
        <f t="shared" si="15"/>
        <v>-0.14950552664120959</v>
      </c>
      <c r="Q18">
        <f t="shared" si="15"/>
        <v>-0.11072107285079164</v>
      </c>
      <c r="R18">
        <f t="shared" si="15"/>
        <v>-7.970500234327571E-2</v>
      </c>
      <c r="S18">
        <f t="shared" si="15"/>
        <v>-5.6084081168716028E-2</v>
      </c>
      <c r="T18">
        <f t="shared" si="15"/>
        <v>-3.8743075511411276E-2</v>
      </c>
      <c r="U18">
        <f t="shared" si="15"/>
        <v>-2.6366062219803112E-2</v>
      </c>
      <c r="V18">
        <f t="shared" si="15"/>
        <v>-1.7724426467163847E-2</v>
      </c>
      <c r="W18">
        <f t="shared" si="15"/>
        <v>-1.1795224790289353E-2</v>
      </c>
      <c r="X18">
        <f t="shared" si="15"/>
        <v>-7.7836884592298872E-3</v>
      </c>
      <c r="Y18">
        <f t="shared" si="15"/>
        <v>-5.1003161663461622E-3</v>
      </c>
      <c r="Z18">
        <f>(Y18-Y14*Y6)*Y$9/oa-Y14*Y$9*Z6*sa/oa^2</f>
        <v>-9.3400346685364333E-3</v>
      </c>
    </row>
    <row r="19" spans="1:26">
      <c r="A19" t="s">
        <v>38</v>
      </c>
      <c r="B19">
        <f>SUMPRODUCT(lz,fa)</f>
        <v>0.27689811233733025</v>
      </c>
      <c r="F19" t="s">
        <v>34</v>
      </c>
      <c r="G19">
        <v>0</v>
      </c>
      <c r="H19">
        <f t="shared" ref="H19:X19" si="16">G19*EXP(-G8) - G14*G7*EXP(-G8)</f>
        <v>-0.10933028954269107</v>
      </c>
      <c r="I19">
        <f t="shared" si="16"/>
        <v>-0.17530141164258378</v>
      </c>
      <c r="J19">
        <f t="shared" si="16"/>
        <v>-0.20738932483562267</v>
      </c>
      <c r="K19">
        <f t="shared" si="16"/>
        <v>-0.21376542909527735</v>
      </c>
      <c r="L19">
        <f t="shared" si="16"/>
        <v>-0.20201812653952728</v>
      </c>
      <c r="M19">
        <f t="shared" si="16"/>
        <v>-0.17913428300883902</v>
      </c>
      <c r="N19">
        <f t="shared" si="16"/>
        <v>-0.15103448939989617</v>
      </c>
      <c r="O19">
        <f t="shared" si="16"/>
        <v>-0.12216486145787245</v>
      </c>
      <c r="P19">
        <f t="shared" si="16"/>
        <v>-9.5415859680523921E-2</v>
      </c>
      <c r="Q19">
        <f t="shared" si="16"/>
        <v>-7.2328643883424068E-2</v>
      </c>
      <c r="R19">
        <f t="shared" si="16"/>
        <v>-5.3435823903212387E-2</v>
      </c>
      <c r="S19">
        <f t="shared" si="16"/>
        <v>-3.861304231795553E-2</v>
      </c>
      <c r="T19">
        <f t="shared" si="16"/>
        <v>-2.7375123286425065E-2</v>
      </c>
      <c r="U19">
        <f t="shared" si="16"/>
        <v>-1.909265545709796E-2</v>
      </c>
      <c r="V19">
        <f t="shared" si="16"/>
        <v>-1.3130365122801892E-2</v>
      </c>
      <c r="W19">
        <f t="shared" si="16"/>
        <v>-8.9219077011707271E-3</v>
      </c>
      <c r="X19">
        <f t="shared" si="16"/>
        <v>-6.0000007508966627E-3</v>
      </c>
      <c r="Y19">
        <f>X19*EXP(-X8) - X14*X7*EXP(-X8)</f>
        <v>-3.9993205120828221E-3</v>
      </c>
      <c r="Z19">
        <f>Y19*EXP(-Y8)/(1-EXP(-za))-Y14*Y7*EXP(-Y8)/(1-EXP(-za))-Y14*EXP(-Y8)*Z7*EXP(-za)/(1-EXP(-za))^2</f>
        <v>-7.5935250680696127E-3</v>
      </c>
    </row>
    <row r="20" spans="1:26">
      <c r="A20" t="s">
        <v>49</v>
      </c>
      <c r="B20">
        <f>B6*dlam</f>
        <v>0.1</v>
      </c>
      <c r="C20">
        <f>B6*dlam</f>
        <v>0.1</v>
      </c>
      <c r="D20">
        <f>AVERAGE(f)</f>
        <v>0.1</v>
      </c>
      <c r="F20" s="4" t="s">
        <v>58</v>
      </c>
      <c r="G20" s="4">
        <v>0</v>
      </c>
      <c r="H20" s="4">
        <f t="shared" ref="H20:Y20" si="17">G20*EXP(-G$8)+G$14*G6^2*EXP(-G$8)</f>
        <v>2.3841441456573496E-2</v>
      </c>
      <c r="I20" s="4">
        <f t="shared" si="17"/>
        <v>5.3517554914812644E-2</v>
      </c>
      <c r="J20" s="4">
        <f t="shared" si="17"/>
        <v>8.7562423629116773E-2</v>
      </c>
      <c r="K20" s="4">
        <f t="shared" si="17"/>
        <v>0.12023344054724294</v>
      </c>
      <c r="L20" s="4">
        <f t="shared" si="17"/>
        <v>0.14351979354696626</v>
      </c>
      <c r="M20" s="4">
        <f t="shared" si="17"/>
        <v>0.15181169385640472</v>
      </c>
      <c r="N20" s="4">
        <f t="shared" si="17"/>
        <v>0.14498458834198868</v>
      </c>
      <c r="O20" s="4">
        <f t="shared" si="17"/>
        <v>0.12740045651097953</v>
      </c>
      <c r="P20" s="4">
        <f t="shared" si="17"/>
        <v>0.10479083962060226</v>
      </c>
      <c r="Q20" s="4">
        <f t="shared" si="17"/>
        <v>8.1847870051050001E-2</v>
      </c>
      <c r="R20" s="4">
        <f t="shared" si="17"/>
        <v>6.139749705809084E-2</v>
      </c>
      <c r="S20" s="4">
        <f t="shared" si="17"/>
        <v>4.4622229878737651E-2</v>
      </c>
      <c r="T20" s="4">
        <f t="shared" si="17"/>
        <v>3.163068106626634E-2</v>
      </c>
      <c r="U20" s="4">
        <f t="shared" si="17"/>
        <v>2.1980326421754619E-2</v>
      </c>
      <c r="V20" s="4">
        <f t="shared" si="17"/>
        <v>1.5032159015434707E-2</v>
      </c>
      <c r="W20" s="4">
        <f t="shared" si="17"/>
        <v>1.0147852775712932E-2</v>
      </c>
      <c r="X20" s="4">
        <f t="shared" si="17"/>
        <v>6.7780294366837114E-3</v>
      </c>
      <c r="Y20" s="4">
        <f t="shared" si="17"/>
        <v>4.487441155516165E-3</v>
      </c>
      <c r="Z20" s="4">
        <f>Y20*EXP(-Y$8)/oa+2*Y$14*(Y6)*Y$9*sa/oa^2 + 2*Y$14*Y$9*Z6^2*sa^2/oa^3 +Y$14*Y$9*Z6^2*sa/oa^2</f>
        <v>1.2244654449967534E-2</v>
      </c>
    </row>
    <row r="21" spans="1:26">
      <c r="A21" t="s">
        <v>48</v>
      </c>
      <c r="B21">
        <f>SUMPRODUCT(fa,G18:Z18)</f>
        <v>-0.92908955204917565</v>
      </c>
      <c r="C21">
        <f>SUMPRODUCT(fa,G19:Z19)</f>
        <v>-0.60585176987036016</v>
      </c>
      <c r="F21" s="4" t="s">
        <v>59</v>
      </c>
      <c r="G21" s="4">
        <v>0</v>
      </c>
      <c r="H21" s="4">
        <f t="shared" ref="H21:Y21" si="18">G21*EXP(-G$8)+G$14*G7^2*EXP(-G$8)</f>
        <v>1.6684749513968349E-2</v>
      </c>
      <c r="I21" s="4">
        <f t="shared" si="18"/>
        <v>3.0740990206361382E-2</v>
      </c>
      <c r="J21" s="4">
        <f t="shared" si="18"/>
        <v>4.2036349426320077E-2</v>
      </c>
      <c r="K21" s="4">
        <f t="shared" si="18"/>
        <v>5.0177773050980298E-2</v>
      </c>
      <c r="L21" s="4">
        <f t="shared" si="18"/>
        <v>5.4800024405036035E-2</v>
      </c>
      <c r="M21" s="4">
        <f t="shared" si="18"/>
        <v>5.5830084504636134E-2</v>
      </c>
      <c r="N21" s="4">
        <f t="shared" si="18"/>
        <v>5.3609517827001914E-2</v>
      </c>
      <c r="O21" s="4">
        <f t="shared" si="18"/>
        <v>4.8847576072674294E-2</v>
      </c>
      <c r="P21" s="4">
        <f t="shared" si="18"/>
        <v>4.2461033831894084E-2</v>
      </c>
      <c r="Q21" s="4">
        <f t="shared" si="18"/>
        <v>3.5380198540736416E-2</v>
      </c>
      <c r="R21" s="4">
        <f t="shared" si="18"/>
        <v>2.8388005212894869E-2</v>
      </c>
      <c r="S21" s="4">
        <f t="shared" si="18"/>
        <v>2.2031048107468469E-2</v>
      </c>
      <c r="T21" s="4">
        <f t="shared" si="18"/>
        <v>1.6607110584889513E-2</v>
      </c>
      <c r="U21" s="4">
        <f t="shared" si="18"/>
        <v>1.220718413982223E-2</v>
      </c>
      <c r="V21" s="4">
        <f t="shared" si="18"/>
        <v>8.7809293521272595E-3</v>
      </c>
      <c r="W21" s="4">
        <f t="shared" si="18"/>
        <v>6.200543691742123E-3</v>
      </c>
      <c r="X21" s="4">
        <f t="shared" si="18"/>
        <v>4.3098483852832886E-3</v>
      </c>
      <c r="Y21" s="4">
        <f t="shared" si="18"/>
        <v>2.9555852447657118E-3</v>
      </c>
      <c r="Z21" s="4">
        <f>Y21*EXP(-Y$8)/oa+2*Y$14*(Y7)*Y$9*sa/oa^2 + 2*Y$14*Y$9*Z7^2*sa^2/oa^3 +Y$14*Y$9*Z7^2*sa/oa^2</f>
        <v>9.6488664831258127E-3</v>
      </c>
    </row>
    <row r="22" spans="1:26">
      <c r="A22" t="s">
        <v>64</v>
      </c>
      <c r="B22">
        <f>SUMPRODUCT(fa,G20:Z20)</f>
        <v>0.58841685388476084</v>
      </c>
      <c r="C22">
        <f>SUMPRODUCT(fa,G21:Z21)</f>
        <v>0.25549187678122193</v>
      </c>
      <c r="F22" t="s">
        <v>44</v>
      </c>
      <c r="G22">
        <f t="shared" ref="G22:Z22" si="19">G11*G18+lz*wa*G6/za*(EXP(-za)-(1-EXP(-za))/za)</f>
        <v>-4.3634509552447492E-4</v>
      </c>
      <c r="H22">
        <f t="shared" si="19"/>
        <v>-3.8142931221251918E-3</v>
      </c>
      <c r="I22">
        <f t="shared" si="19"/>
        <v>-1.3583044919049402E-2</v>
      </c>
      <c r="J22">
        <f t="shared" si="19"/>
        <v>-3.1801362642233176E-2</v>
      </c>
      <c r="K22">
        <f t="shared" si="19"/>
        <v>-5.6209225577720706E-2</v>
      </c>
      <c r="L22">
        <f t="shared" si="19"/>
        <v>-7.9933227296205403E-2</v>
      </c>
      <c r="M22">
        <f t="shared" si="19"/>
        <v>-9.5512545164031626E-2</v>
      </c>
      <c r="N22">
        <f t="shared" si="19"/>
        <v>-9.9422456003045265E-2</v>
      </c>
      <c r="O22">
        <f t="shared" si="19"/>
        <v>-9.2953344748550465E-2</v>
      </c>
      <c r="P22">
        <f t="shared" si="19"/>
        <v>-8.0011905297393257E-2</v>
      </c>
      <c r="Q22">
        <f t="shared" si="19"/>
        <v>-6.4641378368064301E-2</v>
      </c>
      <c r="R22">
        <f t="shared" si="19"/>
        <v>-4.9735213384261484E-2</v>
      </c>
      <c r="S22">
        <f t="shared" si="19"/>
        <v>-3.6843500203814529E-2</v>
      </c>
      <c r="T22">
        <f t="shared" si="19"/>
        <v>-2.6494702791120362E-2</v>
      </c>
      <c r="U22">
        <f t="shared" si="19"/>
        <v>-1.8609762404669435E-2</v>
      </c>
      <c r="V22">
        <f t="shared" si="19"/>
        <v>-1.2827611285452924E-2</v>
      </c>
      <c r="W22">
        <f t="shared" si="19"/>
        <v>-8.7084231174991856E-3</v>
      </c>
      <c r="X22">
        <f t="shared" si="19"/>
        <v>-5.8389570122263828E-3</v>
      </c>
      <c r="Y22">
        <f t="shared" si="19"/>
        <v>-3.8750919683228761E-3</v>
      </c>
      <c r="Z22">
        <f t="shared" si="19"/>
        <v>-7.1496482540154074E-3</v>
      </c>
    </row>
    <row r="23" spans="1:26">
      <c r="A23" t="s">
        <v>41</v>
      </c>
      <c r="B23">
        <f>SUMPRODUCT(lz*G11:Z11)</f>
        <v>0.22663095943631673</v>
      </c>
      <c r="C23">
        <f>SUMPRODUCT(lz*G12:Z12)</f>
        <v>0.14814836327983549</v>
      </c>
      <c r="F23" t="s">
        <v>45</v>
      </c>
      <c r="G23">
        <f t="shared" ref="G23:Z23" si="20">G12*G19+lz*wa*G7/za*(EXP(-za)-(1-EXP(-za))/za)</f>
        <v>-3.6502590782913342E-4</v>
      </c>
      <c r="H23">
        <f t="shared" si="20"/>
        <v>-2.6167293206119644E-3</v>
      </c>
      <c r="I23">
        <f t="shared" si="20"/>
        <v>-7.7036632989278776E-3</v>
      </c>
      <c r="J23">
        <f t="shared" si="20"/>
        <v>-1.5426751842061538E-2</v>
      </c>
      <c r="K23">
        <f t="shared" si="20"/>
        <v>-2.4546484289564935E-2</v>
      </c>
      <c r="L23">
        <f t="shared" si="20"/>
        <v>-3.3231526293578034E-2</v>
      </c>
      <c r="M23">
        <f t="shared" si="20"/>
        <v>-3.9722039605117679E-2</v>
      </c>
      <c r="N23">
        <f t="shared" si="20"/>
        <v>-4.2910027105239237E-2</v>
      </c>
      <c r="O23">
        <f t="shared" si="20"/>
        <v>-4.2590262006399607E-2</v>
      </c>
      <c r="P23">
        <f t="shared" si="20"/>
        <v>-3.9342269566541549E-2</v>
      </c>
      <c r="Q23">
        <f t="shared" si="20"/>
        <v>-3.4184213990565107E-2</v>
      </c>
      <c r="R23">
        <f t="shared" si="20"/>
        <v>-2.8196161519723831E-2</v>
      </c>
      <c r="S23">
        <f t="shared" si="20"/>
        <v>-2.2255458139488666E-2</v>
      </c>
      <c r="T23">
        <f t="shared" si="20"/>
        <v>-1.6928177903073011E-2</v>
      </c>
      <c r="U23">
        <f t="shared" si="20"/>
        <v>-1.2483753495388472E-2</v>
      </c>
      <c r="V23">
        <f t="shared" si="20"/>
        <v>-8.9720110380998967E-3</v>
      </c>
      <c r="W23">
        <f t="shared" si="20"/>
        <v>-6.3115775527435468E-3</v>
      </c>
      <c r="X23">
        <f t="shared" si="20"/>
        <v>-4.361811944774128E-3</v>
      </c>
      <c r="Y23">
        <f t="shared" si="20"/>
        <v>-2.9701556767379282E-3</v>
      </c>
      <c r="Z23">
        <f t="shared" si="20"/>
        <v>-5.7111580852492487E-3</v>
      </c>
    </row>
    <row r="24" spans="1:26">
      <c r="A24" t="s">
        <v>43</v>
      </c>
      <c r="B24">
        <f>SUM(G22:Z22)</f>
        <v>-0.78840203865532577</v>
      </c>
      <c r="C24">
        <f>SUM(G23:Z23)</f>
        <v>-0.39082925858171536</v>
      </c>
      <c r="F24" s="4" t="s">
        <v>62</v>
      </c>
      <c r="G24" s="4">
        <f t="shared" ref="G24:Z24" si="21">G20*G11+2*G18*wa*G6^2*sa/za - 2*G18*wa*G6^2*oa/za^2-lz*wa*G6^3*sa/za -2*lz*wa*G6^3*sa/za^2+2*lz*wa*G6^3*oa/za^3</f>
        <v>9.4059231477679542E-6</v>
      </c>
      <c r="H24" s="4">
        <f t="shared" si="21"/>
        <v>5.9269634548367051E-4</v>
      </c>
      <c r="I24" s="4">
        <f t="shared" si="21"/>
        <v>4.5563531616331018E-3</v>
      </c>
      <c r="J24" s="4">
        <f t="shared" si="21"/>
        <v>1.7452356284506629E-2</v>
      </c>
      <c r="K24" s="4">
        <f t="shared" si="21"/>
        <v>4.3415461737648584E-2</v>
      </c>
      <c r="L24" s="4">
        <f t="shared" si="21"/>
        <v>7.8500091132886585E-2</v>
      </c>
      <c r="M24" s="4">
        <f t="shared" si="21"/>
        <v>0.11094564404724507</v>
      </c>
      <c r="N24" s="4">
        <f t="shared" si="21"/>
        <v>0.12979350609859039</v>
      </c>
      <c r="O24" s="4">
        <f t="shared" si="21"/>
        <v>0.13164450786198895</v>
      </c>
      <c r="P24" s="4">
        <f t="shared" si="21"/>
        <v>0.1200116510340814</v>
      </c>
      <c r="Q24" s="4">
        <f t="shared" si="21"/>
        <v>0.10103343556728242</v>
      </c>
      <c r="R24" s="4">
        <f t="shared" si="21"/>
        <v>8.0119644254258479E-2</v>
      </c>
      <c r="S24" s="4">
        <f t="shared" si="21"/>
        <v>6.0715794336708054E-2</v>
      </c>
      <c r="T24" s="4">
        <f t="shared" si="21"/>
        <v>4.4433232150081839E-2</v>
      </c>
      <c r="U24" s="4">
        <f t="shared" si="21"/>
        <v>3.1644709612345598E-2</v>
      </c>
      <c r="V24" s="4">
        <f t="shared" si="21"/>
        <v>2.2057880873189342E-2</v>
      </c>
      <c r="W24" s="4">
        <f t="shared" si="21"/>
        <v>1.5113412581755723E-2</v>
      </c>
      <c r="X24" s="4">
        <f t="shared" si="21"/>
        <v>1.021218808088115E-2</v>
      </c>
      <c r="Y24" s="4">
        <f t="shared" si="21"/>
        <v>6.8222603676156707E-3</v>
      </c>
      <c r="Z24" s="4">
        <f t="shared" si="21"/>
        <v>1.5626663233937133E-2</v>
      </c>
    </row>
    <row r="25" spans="1:26">
      <c r="A25" t="s">
        <v>56</v>
      </c>
      <c r="B25">
        <f>SUM(G24:Z24)</f>
        <v>1.0247008946852674</v>
      </c>
      <c r="C25">
        <f>SUM(G25:Z25)</f>
        <v>0.35598627022872181</v>
      </c>
      <c r="F25" s="4" t="s">
        <v>63</v>
      </c>
      <c r="G25" s="4">
        <f t="shared" ref="G25:Z25" si="22">G21*G12+2*G19*wa*G7^2*sa/za - 2*G19*wa*G7^2*oa/za^2-lz*wa*G7^3*sa/za -2*lz*wa*G7^3*sa/za^2+2*lz*wa*G7^3*oa/za^3</f>
        <v>5.506583111602255E-6</v>
      </c>
      <c r="H25" s="4">
        <f t="shared" si="22"/>
        <v>2.6211534906019074E-4</v>
      </c>
      <c r="I25" s="4">
        <f t="shared" si="22"/>
        <v>1.4827138635679924E-3</v>
      </c>
      <c r="J25" s="4">
        <f t="shared" si="22"/>
        <v>4.5279917072882925E-3</v>
      </c>
      <c r="K25" s="4">
        <f t="shared" si="22"/>
        <v>9.9004784199939154E-3</v>
      </c>
      <c r="L25" s="4">
        <f t="shared" si="22"/>
        <v>1.7297128042364315E-2</v>
      </c>
      <c r="M25" s="4">
        <f t="shared" si="22"/>
        <v>2.5514861302248129E-2</v>
      </c>
      <c r="N25" s="4">
        <f t="shared" si="22"/>
        <v>3.2838519322832632E-2</v>
      </c>
      <c r="O25" s="4">
        <f t="shared" si="22"/>
        <v>3.7715176657552932E-2</v>
      </c>
      <c r="P25" s="4">
        <f t="shared" si="22"/>
        <v>3.9325894872874037E-2</v>
      </c>
      <c r="Q25" s="4">
        <f t="shared" si="22"/>
        <v>3.7765027767279594E-2</v>
      </c>
      <c r="R25" s="4">
        <f t="shared" si="22"/>
        <v>3.3818202905829833E-2</v>
      </c>
      <c r="S25" s="4">
        <f t="shared" si="22"/>
        <v>2.8550913448688962E-2</v>
      </c>
      <c r="T25" s="4">
        <f t="shared" si="22"/>
        <v>2.2944231274049341E-2</v>
      </c>
      <c r="U25" s="4">
        <f t="shared" si="22"/>
        <v>1.7698021630688579E-2</v>
      </c>
      <c r="V25" s="4">
        <f t="shared" si="22"/>
        <v>1.319627595332089E-2</v>
      </c>
      <c r="W25" s="4">
        <f t="shared" si="22"/>
        <v>9.5683160578182228E-3</v>
      </c>
      <c r="X25" s="4">
        <f t="shared" si="22"/>
        <v>6.779788020538512E-3</v>
      </c>
      <c r="Y25" s="4">
        <f t="shared" si="22"/>
        <v>4.7135521979040692E-3</v>
      </c>
      <c r="Z25" s="4">
        <f t="shared" si="22"/>
        <v>1.2081554851709737E-2</v>
      </c>
    </row>
    <row r="26" spans="1:26">
      <c r="A26" t="s">
        <v>46</v>
      </c>
      <c r="B26">
        <f>ro/(reck-1)*phie/phif^2*dphif</f>
        <v>-0.5890145040881376</v>
      </c>
      <c r="C26">
        <f>ro/(reck-1)*phie/phif^2*dphif</f>
        <v>-0.38409158621366424</v>
      </c>
      <c r="G26">
        <f>G20*G11+2*G18*wa*G6^2*sa/za-2*G18*wa*G6^2*oa/za^2-lz*wa*G6^3*sa/za-2*lz*wa*G6^3*sa/za^2+2*lz*wa*G6^3*oa/za^3</f>
        <v>9.4059231477679542E-6</v>
      </c>
    </row>
    <row r="27" spans="1:26">
      <c r="A27" t="s">
        <v>57</v>
      </c>
      <c r="B27">
        <f>-2*ro*phie*dphif^2/(phif^3*(reck-1)) + ro*phie*ddphif/(phif^2*(reck-1))</f>
        <v>-3.5796590012269736</v>
      </c>
      <c r="C27">
        <f>-2*ro*phie*dphif^2/(phif^3*(reck-1)) + ro*phie*ddphif/(phif^2*(reck-1))</f>
        <v>-1.5188070996246754</v>
      </c>
      <c r="Y27">
        <f>(Y15-2*Y14+Y16)/dh^2</f>
        <v>-3106315.1349920747</v>
      </c>
      <c r="Z27">
        <f>(Z15-2*Z14+Z16)/dh^2</f>
        <v>-5032584.5213952344</v>
      </c>
    </row>
    <row r="28" spans="1:26">
      <c r="D28" t="s">
        <v>74</v>
      </c>
      <c r="F28" t="s">
        <v>30</v>
      </c>
      <c r="G28" t="s">
        <v>50</v>
      </c>
      <c r="H28" t="s">
        <v>55</v>
      </c>
    </row>
    <row r="29" spans="1:26">
      <c r="A29" t="s">
        <v>50</v>
      </c>
      <c r="B29">
        <f>f*re*phiq</f>
        <v>2.0744984730149116E-2</v>
      </c>
      <c r="C29">
        <f>f*re*phiq</f>
        <v>1.3560969523673477E-2</v>
      </c>
      <c r="D29">
        <f>SUM(Ye)</f>
        <v>3.4305954253822595E-2</v>
      </c>
      <c r="F29">
        <v>0</v>
      </c>
      <c r="G29">
        <f>B29</f>
        <v>2.0744984730149116E-2</v>
      </c>
      <c r="H29">
        <f>B30</f>
        <v>0.12193346175477804</v>
      </c>
    </row>
    <row r="30" spans="1:26">
      <c r="A30" t="s">
        <v>53</v>
      </c>
      <c r="B30">
        <f>re*phiq+f*phiq*dre+f*re*dphiq</f>
        <v>0.12193346175477804</v>
      </c>
      <c r="C30">
        <f>re*phiq+f*phiq*dre+f*re*dphiq</f>
        <v>9.4144333466489899E-2</v>
      </c>
      <c r="D30">
        <f>SUM(dYe)</f>
        <v>0.21607779522126794</v>
      </c>
      <c r="F30">
        <v>0.2</v>
      </c>
      <c r="G30">
        <f t="dataTable" ref="G30:H56" dt2D="0" dtr="0" r1="B6"/>
        <v>2.834039428793575E-2</v>
      </c>
      <c r="H30">
        <v>3.4075130074627813E-2</v>
      </c>
      <c r="Z30" s="4">
        <f>Y30*EXP(-Y$8)/oa+Y$14*(Y16)^2*Y$9/oa + 2*Y$14*Y16*Y$9*Z16*sa/oa^2 + 2*Y$14*Y$9*Z16^2*sa/oa^3 + Y$14*Y$9*Z16^2*sa/oa^2</f>
        <v>2.0661287013324579E-9</v>
      </c>
    </row>
    <row r="31" spans="1:26">
      <c r="A31" t="s">
        <v>72</v>
      </c>
      <c r="B31">
        <f>ak*SUMPRODUCT(f*re,phiq)</f>
        <v>1.7152977126911297E-2</v>
      </c>
      <c r="C31">
        <f>ak*SUMPRODUCT(f*re,phiq)</f>
        <v>1.7152977126911297E-2</v>
      </c>
      <c r="F31">
        <v>0.20499999999999999</v>
      </c>
      <c r="G31">
        <v>2.8522827991589186E-2</v>
      </c>
      <c r="H31">
        <v>3.1111085909858824E-2</v>
      </c>
    </row>
    <row r="32" spans="1:26">
      <c r="A32" t="s">
        <v>73</v>
      </c>
      <c r="B32">
        <f>ak*(B30+C20*dre*phiq+C20*re*dphiq)</f>
        <v>1.820853810403246E-2</v>
      </c>
      <c r="C32">
        <f>ak*(C30+B20*dre*phiq+B20*re*dphiq)</f>
        <v>2.6339485848122509E-2</v>
      </c>
      <c r="F32">
        <v>0.21</v>
      </c>
      <c r="G32">
        <v>2.8690915583480352E-2</v>
      </c>
      <c r="H32">
        <v>2.8244069407130923E-2</v>
      </c>
    </row>
    <row r="33" spans="1:8">
      <c r="A33" t="s">
        <v>52</v>
      </c>
      <c r="F33">
        <v>0.215</v>
      </c>
      <c r="G33">
        <v>2.8845123024499084E-2</v>
      </c>
      <c r="H33">
        <v>2.5470157403736093E-2</v>
      </c>
    </row>
    <row r="34" spans="1:8">
      <c r="B34">
        <f>re*phiq+f*phiq*dre+f*re*dphiq</f>
        <v>0.12193346175477804</v>
      </c>
      <c r="C34">
        <f>f*phiq*B26+f*re*B24</f>
        <v>-8.0893646801247179E-2</v>
      </c>
      <c r="F34">
        <v>0.22</v>
      </c>
      <c r="G34">
        <v>2.8985897269487474E-2</v>
      </c>
      <c r="H34">
        <v>2.2785608851505046E-2</v>
      </c>
    </row>
    <row r="35" spans="1:8">
      <c r="B35">
        <f>f*phiq*C26+f*re*C24</f>
        <v>-4.4479812255035819E-2</v>
      </c>
      <c r="C35">
        <f>re*phiq+f*phiq*dre+f*re*dphiq</f>
        <v>9.4144333466489899E-2</v>
      </c>
      <c r="F35">
        <v>0.22500000000000001</v>
      </c>
      <c r="G35">
        <v>2.9113667149777471E-2</v>
      </c>
      <c r="H35">
        <v>2.0186855139157439E-2</v>
      </c>
    </row>
    <row r="36" spans="1:8">
      <c r="A36" t="s">
        <v>10</v>
      </c>
      <c r="B36">
        <f t="array" ref="B36:C37">-MINVERSE(B34:C35)</f>
        <v>-11.945415785004235</v>
      </c>
      <c r="C36">
        <v>-10.264114788705015</v>
      </c>
      <c r="F36">
        <v>0.23</v>
      </c>
      <c r="G36">
        <v>2.9228844208896005E-2</v>
      </c>
      <c r="H36">
        <v>1.7670490993177468E-2</v>
      </c>
    </row>
    <row r="37" spans="1:8">
      <c r="B37">
        <v>-5.6437794167872397</v>
      </c>
      <c r="C37">
        <v>-15.471413362166768</v>
      </c>
      <c r="F37">
        <v>0.23499999999999999</v>
      </c>
      <c r="G37">
        <v>2.9331823494229702E-2</v>
      </c>
      <c r="H37">
        <v>1.5233265918799713E-2</v>
      </c>
    </row>
    <row r="38" spans="1:8">
      <c r="F38">
        <v>0.24</v>
      </c>
      <c r="G38">
        <v>2.9422984307257156E-2</v>
      </c>
      <c r="H38">
        <v>1.2872076145495265E-2</v>
      </c>
    </row>
    <row r="39" spans="1:8">
      <c r="A39" t="s">
        <v>11</v>
      </c>
      <c r="B39">
        <f t="array" ref="B39:C39">MMULT(B30:C30,B36:C37)</f>
        <v>-1.9878757501910655</v>
      </c>
      <c r="C39">
        <v>-2.7080849468009505</v>
      </c>
      <c r="F39">
        <v>0.245</v>
      </c>
      <c r="G39">
        <v>2.9502690914785343E-2</v>
      </c>
      <c r="H39">
        <v>1.0583957043930128E-2</v>
      </c>
    </row>
    <row r="40" spans="1:8">
      <c r="A40" t="s">
        <v>54</v>
      </c>
      <c r="B40">
        <f>f+delta</f>
        <v>-1.8878757501910655</v>
      </c>
      <c r="C40">
        <f>f+delta</f>
        <v>-2.6080849468009504</v>
      </c>
      <c r="F40">
        <v>0.25</v>
      </c>
      <c r="G40">
        <v>2.9571293223466705E-2</v>
      </c>
      <c r="H40">
        <v>8.3660759837414778E-3</v>
      </c>
    </row>
    <row r="41" spans="1:8">
      <c r="F41">
        <v>0.255</v>
      </c>
      <c r="G41">
        <v>2.9629127419727497E-2</v>
      </c>
      <c r="H41">
        <v>6.2157256036710906E-3</v>
      </c>
    </row>
    <row r="42" spans="1:8">
      <c r="A42" t="s">
        <v>9</v>
      </c>
      <c r="B42">
        <f>2*dre*phiq+2*re*dphiq+f*ddre*phiq+2*f*dre*dphiq+f*re*ddphiq</f>
        <v>-1.6047803765423112</v>
      </c>
      <c r="C42">
        <f>f*B27*phiq+2*f*B26*B24+f*re*B25</f>
        <v>0.13364142756907188</v>
      </c>
      <c r="D42">
        <f>B42+C43</f>
        <v>-2.3939799388978553</v>
      </c>
      <c r="F42">
        <v>0.26</v>
      </c>
      <c r="G42">
        <v>2.9676516577099108E-2</v>
      </c>
      <c r="H42">
        <v>4.130317467612804E-3</v>
      </c>
    </row>
    <row r="43" spans="1:8">
      <c r="B43">
        <f>f*C27*phiq+2*f*C26*C24+f*re*C25</f>
        <v>2.8187680625409602E-2</v>
      </c>
      <c r="C43">
        <f>2*dre*phiq+2*re*dphiq+f*ddre*phiq+2*f*dre*dphiq+f*re*ddphiq</f>
        <v>-0.78919956235554423</v>
      </c>
      <c r="F43">
        <v>0.26500000000000001</v>
      </c>
      <c r="G43">
        <v>2.9713771232817956E-2</v>
      </c>
      <c r="H43">
        <v>2.1073760819962928E-3</v>
      </c>
    </row>
    <row r="44" spans="1:8">
      <c r="A44" t="s">
        <v>10</v>
      </c>
      <c r="B44">
        <f t="array" ref="B44:C45">-MINVERSE(B42:C43)</f>
        <v>0.624997213765486</v>
      </c>
      <c r="C44">
        <v>0.10583574023408118</v>
      </c>
      <c r="F44">
        <v>0.27</v>
      </c>
      <c r="G44">
        <v>2.9741189935440476E-2</v>
      </c>
      <c r="H44">
        <v>1.4453325164741349E-4</v>
      </c>
    </row>
    <row r="45" spans="1:8">
      <c r="B45">
        <v>2.2322898660523581E-2</v>
      </c>
      <c r="C45">
        <v>1.2708867463773574</v>
      </c>
      <c r="F45">
        <v>0.27500000000000002</v>
      </c>
      <c r="G45">
        <v>2.9759059765109553E-2</v>
      </c>
      <c r="H45">
        <v>-1.7604772471421504E-3</v>
      </c>
    </row>
    <row r="46" spans="1:8">
      <c r="F46">
        <v>0.28000000000000003</v>
      </c>
      <c r="G46">
        <v>2.9767656828006566E-2</v>
      </c>
      <c r="H46">
        <v>-3.6098246961367292E-3</v>
      </c>
    </row>
    <row r="47" spans="1:8">
      <c r="A47" t="s">
        <v>65</v>
      </c>
      <c r="B47">
        <f t="array" ref="B47:C47">MMULT(B30:C30,B44:C45)</f>
        <v>7.8309648276951707E-2</v>
      </c>
      <c r="C47">
        <v>0.13255170383321327</v>
      </c>
      <c r="D47">
        <f>D30/D42</f>
        <v>-9.0258816170676104E-2</v>
      </c>
      <c r="F47">
        <v>0.28499999999999998</v>
      </c>
      <c r="G47">
        <v>2.9767246726427169E-2</v>
      </c>
      <c r="H47">
        <v>-5.4055861857125326E-3</v>
      </c>
    </row>
    <row r="48" spans="1:8">
      <c r="A48" s="5" t="s">
        <v>54</v>
      </c>
      <c r="B48" s="5">
        <f>(f+dta)</f>
        <v>0.17830964827695173</v>
      </c>
      <c r="C48" s="5">
        <f>(f+dta)</f>
        <v>0.23255170383321327</v>
      </c>
      <c r="D48" s="5">
        <f>D20-D47</f>
        <v>0.19025881617067611</v>
      </c>
      <c r="F48">
        <v>0.28999999999999998</v>
      </c>
      <c r="G48">
        <v>2.9758085005830343E-2</v>
      </c>
      <c r="H48">
        <v>-7.1497511036317796E-3</v>
      </c>
    </row>
    <row r="49" spans="6:8">
      <c r="F49">
        <v>0.29499999999999998</v>
      </c>
      <c r="G49">
        <v>2.97404175801276E-2</v>
      </c>
      <c r="H49">
        <v>-8.844225378055709E-3</v>
      </c>
    </row>
    <row r="50" spans="6:8">
      <c r="F50">
        <v>0.29999999999999899</v>
      </c>
      <c r="G50">
        <v>2.971448113640078E-2</v>
      </c>
      <c r="H50">
        <v>-1.049083548974318E-2</v>
      </c>
    </row>
    <row r="51" spans="6:8">
      <c r="F51">
        <v>0.30499999999999999</v>
      </c>
      <c r="G51">
        <v>2.9680503520166397E-2</v>
      </c>
      <c r="H51">
        <v>-1.2091332267378976E-2</v>
      </c>
    </row>
    <row r="52" spans="6:8">
      <c r="F52">
        <v>0.309999999999999</v>
      </c>
      <c r="G52">
        <v>2.9638704102235597E-2</v>
      </c>
      <c r="H52">
        <v>-1.3647394479046546E-2</v>
      </c>
    </row>
    <row r="53" spans="6:8">
      <c r="F53">
        <v>0.314999999999999</v>
      </c>
      <c r="G53">
        <v>2.9589294128157088E-2</v>
      </c>
      <c r="H53">
        <v>-1.5160632232017655E-2</v>
      </c>
    </row>
    <row r="54" spans="6:8">
      <c r="F54">
        <v>0.31999999999999901</v>
      </c>
      <c r="G54">
        <v>2.9532477051170784E-2</v>
      </c>
      <c r="H54">
        <v>-1.6632590192206878E-2</v>
      </c>
    </row>
    <row r="55" spans="6:8">
      <c r="F55">
        <v>0.32499999999999901</v>
      </c>
      <c r="G55">
        <v>2.9468448849545761E-2</v>
      </c>
      <c r="H55">
        <v>-1.8064750633926388E-2</v>
      </c>
    </row>
    <row r="56" spans="6:8">
      <c r="F56">
        <v>0.32999999999999902</v>
      </c>
      <c r="G56">
        <v>2.9397398329124191E-2</v>
      </c>
      <c r="H56">
        <v>-1.9458536329870067E-2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V63"/>
  <sheetViews>
    <sheetView zoomScale="125" zoomScaleNormal="125" zoomScalePageLayoutView="125" workbookViewId="0">
      <selection activeCell="K17" sqref="K17"/>
    </sheetView>
  </sheetViews>
  <sheetFormatPr baseColWidth="10" defaultRowHeight="15" x14ac:dyDescent="0"/>
  <cols>
    <col min="6" max="6" width="13.33203125" bestFit="1" customWidth="1"/>
    <col min="7" max="7" width="11.1640625" customWidth="1"/>
  </cols>
  <sheetData>
    <row r="1" spans="1:22">
      <c r="A1" t="s">
        <v>15</v>
      </c>
      <c r="B1">
        <v>3598.1</v>
      </c>
      <c r="E1" t="s">
        <v>76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</row>
    <row r="2" spans="1:22">
      <c r="A2" t="s">
        <v>16</v>
      </c>
      <c r="B2">
        <v>0.62302999999999997</v>
      </c>
      <c r="E2" t="s">
        <v>20</v>
      </c>
      <c r="F2">
        <v>1.0121</v>
      </c>
      <c r="G2">
        <v>1.3857999999999999</v>
      </c>
      <c r="H2">
        <v>1.7250000000000001</v>
      </c>
      <c r="I2">
        <v>2.0173999999999999</v>
      </c>
      <c r="J2">
        <v>2.2608999999999999</v>
      </c>
      <c r="K2">
        <v>2.4588999999999999</v>
      </c>
      <c r="L2">
        <v>2.6171000000000002</v>
      </c>
    </row>
    <row r="3" spans="1:22">
      <c r="A3" t="s">
        <v>17</v>
      </c>
      <c r="B3">
        <v>0.3</v>
      </c>
      <c r="E3" t="s">
        <v>21</v>
      </c>
      <c r="F3">
        <v>7.2924000000000003E-2</v>
      </c>
      <c r="G3">
        <v>0.66935</v>
      </c>
      <c r="H3">
        <v>1.5841000000000001</v>
      </c>
      <c r="I3">
        <v>2.0026000000000002</v>
      </c>
      <c r="J3">
        <v>2.2595000000000001</v>
      </c>
      <c r="K3">
        <v>2.4588000000000001</v>
      </c>
      <c r="L3">
        <v>2.6171000000000002</v>
      </c>
    </row>
    <row r="4" spans="1:22">
      <c r="A4" t="s">
        <v>30</v>
      </c>
      <c r="B4">
        <v>0</v>
      </c>
      <c r="E4" t="s">
        <v>23</v>
      </c>
      <c r="F4">
        <v>4.1511999999999999E-3</v>
      </c>
      <c r="G4">
        <v>8.4884000000000001E-2</v>
      </c>
      <c r="H4">
        <v>0.60248999999999997</v>
      </c>
      <c r="I4">
        <v>1.8459000000000001</v>
      </c>
      <c r="J4">
        <v>1.7443</v>
      </c>
      <c r="K4">
        <v>1.3592</v>
      </c>
      <c r="L4">
        <v>1.3592</v>
      </c>
      <c r="P4">
        <v>4.1511999999999999E-3</v>
      </c>
      <c r="Q4">
        <v>8.4884000000000001E-2</v>
      </c>
      <c r="R4">
        <v>0.60248999999999997</v>
      </c>
      <c r="S4">
        <v>1.8459000000000001</v>
      </c>
      <c r="T4">
        <v>1.7443</v>
      </c>
      <c r="U4">
        <v>1.3592</v>
      </c>
      <c r="V4">
        <v>1.3592</v>
      </c>
    </row>
    <row r="5" spans="1:22">
      <c r="A5" t="s">
        <v>77</v>
      </c>
      <c r="B5">
        <f>4*h/(1-h)</f>
        <v>6.6109239462026146</v>
      </c>
      <c r="E5" t="s">
        <v>35</v>
      </c>
      <c r="F5">
        <f t="shared" ref="F5:L5" si="0">m+fe*va</f>
        <v>0.3</v>
      </c>
      <c r="G5">
        <f t="shared" si="0"/>
        <v>0.3</v>
      </c>
      <c r="H5">
        <f t="shared" si="0"/>
        <v>0.3</v>
      </c>
      <c r="I5">
        <f t="shared" si="0"/>
        <v>0.3</v>
      </c>
      <c r="J5">
        <f t="shared" si="0"/>
        <v>0.3</v>
      </c>
      <c r="K5">
        <f t="shared" si="0"/>
        <v>0.3</v>
      </c>
      <c r="L5">
        <f t="shared" si="0"/>
        <v>0.3</v>
      </c>
    </row>
    <row r="6" spans="1:22">
      <c r="A6" t="s">
        <v>29</v>
      </c>
      <c r="B6" s="2">
        <v>1.0000000000000001E-5</v>
      </c>
      <c r="E6" t="s">
        <v>60</v>
      </c>
      <c r="F6">
        <f t="shared" ref="F6:L6" si="1">EXP(-za)</f>
        <v>0.74081822068171788</v>
      </c>
      <c r="G6">
        <f t="shared" si="1"/>
        <v>0.74081822068171788</v>
      </c>
      <c r="H6">
        <f t="shared" si="1"/>
        <v>0.74081822068171788</v>
      </c>
      <c r="I6">
        <f t="shared" si="1"/>
        <v>0.74081822068171788</v>
      </c>
      <c r="J6">
        <f t="shared" si="1"/>
        <v>0.74081822068171788</v>
      </c>
      <c r="K6">
        <f t="shared" si="1"/>
        <v>0.74081822068171788</v>
      </c>
      <c r="L6">
        <f t="shared" si="1"/>
        <v>0.74081822068171788</v>
      </c>
    </row>
    <row r="7" spans="1:22">
      <c r="A7" t="s">
        <v>91</v>
      </c>
      <c r="B7" s="2">
        <f>fe+dh</f>
        <v>1.0000000000000001E-5</v>
      </c>
      <c r="E7" t="s">
        <v>61</v>
      </c>
      <c r="F7">
        <f t="shared" ref="F7:L7" si="2">1-sa</f>
        <v>0.25918177931828212</v>
      </c>
      <c r="G7">
        <f t="shared" si="2"/>
        <v>0.25918177931828212</v>
      </c>
      <c r="H7">
        <f t="shared" si="2"/>
        <v>0.25918177931828212</v>
      </c>
      <c r="I7">
        <f t="shared" si="2"/>
        <v>0.25918177931828212</v>
      </c>
      <c r="J7">
        <f t="shared" si="2"/>
        <v>0.25918177931828212</v>
      </c>
      <c r="K7">
        <f t="shared" si="2"/>
        <v>0.25918177931828212</v>
      </c>
      <c r="L7">
        <f t="shared" si="2"/>
        <v>0.25918177931828212</v>
      </c>
    </row>
    <row r="8" spans="1:22">
      <c r="A8" t="s">
        <v>92</v>
      </c>
      <c r="B8">
        <f>fe-dh</f>
        <v>-1.0000000000000001E-5</v>
      </c>
      <c r="E8" t="s">
        <v>22</v>
      </c>
      <c r="F8">
        <f>1*EXP(-m*zf)</f>
        <v>0.74081822068171788</v>
      </c>
      <c r="G8">
        <f>F8*EXP(-m*(1+zf))</f>
        <v>0.40656965974059911</v>
      </c>
      <c r="H8">
        <f>G8*EXP(-m*(1+zf))</f>
        <v>0.22313016014842982</v>
      </c>
      <c r="I8">
        <f>H8*EXP(-m*(1+zf))</f>
        <v>0.12245642825298189</v>
      </c>
      <c r="J8">
        <f>I8*EXP(-m*(1+zf))</f>
        <v>6.7205512739749756E-2</v>
      </c>
      <c r="K8">
        <f>J8*EXP(-m*(1+zf))</f>
        <v>3.6883167401240001E-2</v>
      </c>
      <c r="L8">
        <f>K8*EXP(-m*(1+zf))/(1-EXP(-m*(1+zf)))</f>
        <v>4.4863549384493308E-2</v>
      </c>
    </row>
    <row r="9" spans="1:22">
      <c r="A9" t="s">
        <v>90</v>
      </c>
      <c r="B9" s="8">
        <v>1</v>
      </c>
      <c r="E9" t="s">
        <v>25</v>
      </c>
      <c r="F9">
        <f>1*EXP(-za*zf)</f>
        <v>0.74081822068171788</v>
      </c>
      <c r="G9">
        <f>F9*F6*EXP(-za*zf)</f>
        <v>0.40656965974059917</v>
      </c>
      <c r="H9">
        <f>G9*G6*EXP(-za*zf)</f>
        <v>0.22313016014842987</v>
      </c>
      <c r="I9">
        <f>H9*H6*EXP(-za*zf)</f>
        <v>0.12245642825298195</v>
      </c>
      <c r="J9">
        <f>I9*I6*EXP(-za*zf)</f>
        <v>6.7205512739749784E-2</v>
      </c>
      <c r="K9">
        <f>J9*J6*EXP(-za*zf)</f>
        <v>3.6883167401240015E-2</v>
      </c>
      <c r="L9">
        <f>K9*K6*EXP(-za*zf)/(1-EXP(-za*(1+zf)))</f>
        <v>4.4863549384493329E-2</v>
      </c>
    </row>
    <row r="10" spans="1:22">
      <c r="A10" t="s">
        <v>37</v>
      </c>
      <c r="B10">
        <f>SUMPRODUCT(lx,fa)</f>
        <v>1.2848041427187038</v>
      </c>
      <c r="E10" t="s">
        <v>26</v>
      </c>
      <c r="F10">
        <f>1*EXP(-za*zf)</f>
        <v>0.74081822068171788</v>
      </c>
      <c r="G10">
        <f>F10*EXP(-(m+feh*F4)-zf*(m+feh*va))</f>
        <v>0.40656929775065059</v>
      </c>
      <c r="H10">
        <f>G10*EXP(-(m+feh*G4)-zf*(m+feh*va))</f>
        <v>0.22312842775206371</v>
      </c>
      <c r="I10">
        <f>H10*EXP(-(m+feh*H4)-zf*(m+feh*va))</f>
        <v>0.12245247934273581</v>
      </c>
      <c r="J10">
        <f>I10*EXP(-(m+feh*I4)-zf*(m+feh*va))</f>
        <v>6.7200932840656008E-2</v>
      </c>
      <c r="K10">
        <f>J10*EXP(-(m+feh*J4)-zf*(m+feh*va))</f>
        <v>3.687950932599246E-2</v>
      </c>
      <c r="L10">
        <f>K10*EXP(-(m+feh*K4)-zf*(m+feh*va))/(1-EXP(-(m+feh*K4)-zf*(m+feh*va)))</f>
        <v>4.4856397189545878E-2</v>
      </c>
    </row>
    <row r="11" spans="1:22">
      <c r="A11" t="s">
        <v>38</v>
      </c>
      <c r="B11">
        <f>SUMPRODUCT(lz,fa)</f>
        <v>1.284804142718704</v>
      </c>
      <c r="E11" t="s">
        <v>26</v>
      </c>
      <c r="F11">
        <f>1*EXP(-za*zf)</f>
        <v>0.74081822068171788</v>
      </c>
      <c r="G11">
        <f>F11*EXP(-(m+fem*F4)-zf*(m+fem*va))</f>
        <v>0.40657002173086998</v>
      </c>
      <c r="H11">
        <f>G11*EXP(-(m+fem*G4)-zf*(m+fem*va))</f>
        <v>0.2231318925582465</v>
      </c>
      <c r="I11">
        <f>H11*EXP(-(m+fem*H4)-zf*(m+fem*va))</f>
        <v>0.1224603772905745</v>
      </c>
      <c r="J11">
        <f>I11*EXP(-(m+fem*I4)-zf*(m+fem*va))</f>
        <v>6.7210092950974257E-2</v>
      </c>
      <c r="K11">
        <f>J11*EXP(-(m+fem*J4)-zf*(m+fem*va))</f>
        <v>3.688682583933172E-2</v>
      </c>
      <c r="L11">
        <f>K11*EXP(-(m+fem*K4)-zf*(m+fem*va))/(1-EXP(-(m+fem*K4)-zf*(m+fem*va)))</f>
        <v>4.4870702809224818E-2</v>
      </c>
    </row>
    <row r="12" spans="1:22">
      <c r="A12" t="s">
        <v>51</v>
      </c>
      <c r="B12">
        <f>ro*(kappa-phie/phif)/(kappa-1)</f>
        <v>3598.1</v>
      </c>
      <c r="E12" t="s">
        <v>79</v>
      </c>
      <c r="F12">
        <f t="shared" ref="F12:L12" si="3">(F10-F9)/dh</f>
        <v>0</v>
      </c>
      <c r="G12">
        <f t="shared" si="3"/>
        <v>-3.6198994857183919E-2</v>
      </c>
      <c r="H12">
        <f t="shared" si="3"/>
        <v>-0.17323963661663996</v>
      </c>
      <c r="I12">
        <f t="shared" si="3"/>
        <v>-0.39489102461320863</v>
      </c>
      <c r="J12">
        <f t="shared" si="3"/>
        <v>-0.45798990937762069</v>
      </c>
      <c r="K12">
        <f t="shared" si="3"/>
        <v>-0.36580752475548478</v>
      </c>
      <c r="L12">
        <f t="shared" si="3"/>
        <v>-0.71521949474503954</v>
      </c>
    </row>
    <row r="13" spans="1:22">
      <c r="A13" t="s">
        <v>41</v>
      </c>
      <c r="B13">
        <f>SUMPRODUCT(lz,qa)</f>
        <v>1.1116714111708506</v>
      </c>
      <c r="E13" t="s">
        <v>78</v>
      </c>
      <c r="F13">
        <f>0</f>
        <v>0</v>
      </c>
      <c r="G13">
        <f>F13*F6*EXP(-zf*za)+F9*(-F4-zf*G4)*EXP(-F5-zf*G5)</f>
        <v>-3.6199010968936185E-2</v>
      </c>
      <c r="H13">
        <f>G13*G6*EXP(-zf*za)+G9*(-G4-zf*H4)*EXP(-G5-zf*H5)</f>
        <v>-0.17324030913671426</v>
      </c>
      <c r="I13">
        <f>H13*H6*EXP(-zf*za)+H9*(-H4-zf*I4)*EXP(-H5-zf*I5)</f>
        <v>-0.39489739186507344</v>
      </c>
      <c r="J13">
        <f>I13*I6*EXP(-zf*za)+I9*(-I4-zf*J4)*EXP(-I5-zf*J5)</f>
        <v>-0.45800551555698454</v>
      </c>
      <c r="K13">
        <f>J13*J6*EXP(-zf*za)+J9*(-J4-zf*K4)*EXP(-J5-zf*K5)</f>
        <v>-0.36582566636266511</v>
      </c>
      <c r="L13">
        <f>K13*K6*EXP(-zf*za)/(1-EXP(-za-zf*za))+K9*(-K4-zf*L4)*EXP(-K5-zf*za)/(1-EXP(-za-zf*za))  + K9*EXP(-K5-zf*za)*(-L4-zf*L4)*EXP(-za-zf*za)/(1-EXP(-za-zf*za))^2</f>
        <v>-0.71528098006477769</v>
      </c>
    </row>
    <row r="14" spans="1:22">
      <c r="E14" t="s">
        <v>93</v>
      </c>
      <c r="F14">
        <v>0</v>
      </c>
      <c r="G14">
        <f t="shared" ref="G14:L14" si="4">F14*F6+F9*F4^2*F6</f>
        <v>9.457375356813622E-6</v>
      </c>
      <c r="H14">
        <f t="shared" si="4"/>
        <v>2.1771988800602213E-3</v>
      </c>
      <c r="I14">
        <f t="shared" si="4"/>
        <v>6.1615446307810566E-2</v>
      </c>
      <c r="J14">
        <f t="shared" si="4"/>
        <v>0.35475337405067098</v>
      </c>
      <c r="K14">
        <f t="shared" si="4"/>
        <v>0.41428902578954974</v>
      </c>
      <c r="L14">
        <f t="shared" si="4"/>
        <v>0.35739137703902596</v>
      </c>
    </row>
    <row r="15" spans="1:22">
      <c r="A15" t="s">
        <v>48</v>
      </c>
      <c r="B15">
        <f>SUMPRODUCT(dlz,fa)</f>
        <v>-4.8957987624255805</v>
      </c>
      <c r="E15" t="s">
        <v>94</v>
      </c>
      <c r="F15">
        <f t="shared" ref="F15:L15" si="5">(F10-2*F9+F11)/dh^2</f>
        <v>0</v>
      </c>
      <c r="G15">
        <f t="shared" si="5"/>
        <v>3.2224223289745164E-3</v>
      </c>
      <c r="H15">
        <f t="shared" si="5"/>
        <v>0.13450462965636231</v>
      </c>
      <c r="I15">
        <f t="shared" si="5"/>
        <v>1.273464250717282</v>
      </c>
      <c r="J15">
        <f t="shared" si="5"/>
        <v>3.1213069628943653</v>
      </c>
      <c r="K15">
        <f t="shared" si="5"/>
        <v>3.6284415055876091</v>
      </c>
      <c r="L15">
        <f t="shared" si="5"/>
        <v>12.297840384922763</v>
      </c>
    </row>
    <row r="16" spans="1:22">
      <c r="A16" t="s">
        <v>43</v>
      </c>
      <c r="B16">
        <f>SUM(dqa)</f>
        <v>-6.9966384244772097</v>
      </c>
      <c r="E16" t="s">
        <v>39</v>
      </c>
      <c r="F16">
        <f t="shared" ref="F16:L16" si="6">wa*va/za*oa</f>
        <v>3.6297799289131869E-3</v>
      </c>
      <c r="G16">
        <f t="shared" si="6"/>
        <v>0.10162711711501336</v>
      </c>
      <c r="H16">
        <f t="shared" si="6"/>
        <v>0.89788797377346286</v>
      </c>
      <c r="I16">
        <f t="shared" si="6"/>
        <v>3.2172395477845099</v>
      </c>
      <c r="J16">
        <f t="shared" si="6"/>
        <v>3.4071067974084204</v>
      </c>
      <c r="K16">
        <f t="shared" si="6"/>
        <v>2.8874032776121732</v>
      </c>
      <c r="L16">
        <f t="shared" si="6"/>
        <v>3.0731721980718283</v>
      </c>
    </row>
    <row r="17" spans="1:12">
      <c r="A17" t="s">
        <v>46</v>
      </c>
      <c r="B17">
        <f>ro*phie*dphif/(phif^2*(kappa-1))</f>
        <v>-2443.5738966452454</v>
      </c>
      <c r="E17" t="s">
        <v>80</v>
      </c>
      <c r="F17">
        <f t="shared" ref="F17:L17" si="7">wa*oa*va/za*dlz+lz*wa*va^p*sa/za - lz*wa*va^p*oa/za^2</f>
        <v>-5.3026556992476152E-6</v>
      </c>
      <c r="G17">
        <f t="shared" si="7"/>
        <v>-5.3448902549372342E-3</v>
      </c>
      <c r="H17">
        <f t="shared" si="7"/>
        <v>-0.21289044396114773</v>
      </c>
      <c r="I17">
        <f t="shared" si="7"/>
        <v>-1.6159420591272251</v>
      </c>
      <c r="J17">
        <f t="shared" si="7"/>
        <v>-1.7502052960696139</v>
      </c>
      <c r="K17">
        <f t="shared" si="7"/>
        <v>-1.1250479655896308</v>
      </c>
      <c r="L17">
        <f t="shared" si="7"/>
        <v>-2.2872024668189561</v>
      </c>
    </row>
    <row r="19" spans="1:12">
      <c r="A19" t="s">
        <v>83</v>
      </c>
      <c r="B19">
        <v>2.5000000000000001E-2</v>
      </c>
    </row>
    <row r="20" spans="1:12">
      <c r="A20" t="s">
        <v>81</v>
      </c>
      <c r="B20">
        <f>fe*re*phiq</f>
        <v>0</v>
      </c>
    </row>
    <row r="21" spans="1:12">
      <c r="A21" t="s">
        <v>82</v>
      </c>
      <c r="B21">
        <f>re*phiq+fe*re*dphiq+fe*phiq*dre</f>
        <v>3999.9049045338375</v>
      </c>
    </row>
    <row r="23" spans="1:12">
      <c r="A23" t="s">
        <v>84</v>
      </c>
      <c r="B23">
        <v>2</v>
      </c>
    </row>
    <row r="27" spans="1:12">
      <c r="D27" t="s">
        <v>30</v>
      </c>
      <c r="E27" t="s">
        <v>81</v>
      </c>
      <c r="F27" t="s">
        <v>82</v>
      </c>
    </row>
    <row r="28" spans="1:12">
      <c r="D28">
        <v>0</v>
      </c>
      <c r="E28">
        <f>ye</f>
        <v>0</v>
      </c>
      <c r="F28">
        <f>dye</f>
        <v>3999.9049045338375</v>
      </c>
    </row>
    <row r="29" spans="1:12">
      <c r="D29">
        <f t="shared" ref="D29:D63" si="8">D28+dfe</f>
        <v>2.5000000000000001E-2</v>
      </c>
      <c r="E29">
        <f t="dataTable" ref="E29:F63" dt2D="0" dtr="0" r1="B4"/>
        <v>84.673318639116303</v>
      </c>
      <c r="F29">
        <v>2849.8329147617055</v>
      </c>
    </row>
    <row r="30" spans="1:12">
      <c r="D30">
        <f t="shared" si="8"/>
        <v>0.05</v>
      </c>
      <c r="E30">
        <v>145.48669183534591</v>
      </c>
      <c r="F30">
        <v>2064.4779391392112</v>
      </c>
    </row>
    <row r="31" spans="1:12">
      <c r="D31">
        <f t="shared" si="8"/>
        <v>7.5000000000000011E-2</v>
      </c>
      <c r="E31">
        <v>189.81419986687834</v>
      </c>
      <c r="F31">
        <v>1515.0926120138863</v>
      </c>
    </row>
    <row r="32" spans="1:12">
      <c r="D32">
        <f t="shared" si="8"/>
        <v>0.1</v>
      </c>
      <c r="E32">
        <v>222.49644799820268</v>
      </c>
      <c r="F32">
        <v>1123.0331146014837</v>
      </c>
    </row>
    <row r="33" spans="4:6">
      <c r="D33">
        <f t="shared" si="8"/>
        <v>0.125</v>
      </c>
      <c r="E33">
        <v>246.79985620692682</v>
      </c>
      <c r="F33">
        <v>838.51340611632395</v>
      </c>
    </row>
    <row r="34" spans="4:6">
      <c r="D34">
        <f t="shared" si="8"/>
        <v>0.15</v>
      </c>
      <c r="E34">
        <v>264.98007943871352</v>
      </c>
      <c r="F34">
        <v>629.06967121541379</v>
      </c>
    </row>
    <row r="35" spans="4:6">
      <c r="D35">
        <f t="shared" si="8"/>
        <v>0.17499999999999999</v>
      </c>
      <c r="E35">
        <v>278.62573296184718</v>
      </c>
      <c r="F35">
        <v>472.99715469968112</v>
      </c>
    </row>
    <row r="36" spans="4:6">
      <c r="D36">
        <f t="shared" si="8"/>
        <v>0.19999999999999998</v>
      </c>
      <c r="E36">
        <v>288.87482519096767</v>
      </c>
      <c r="F36">
        <v>355.46860256495779</v>
      </c>
    </row>
    <row r="37" spans="4:6">
      <c r="D37">
        <f t="shared" si="8"/>
        <v>0.22499999999999998</v>
      </c>
      <c r="E37">
        <v>296.55474194900302</v>
      </c>
      <c r="F37">
        <v>266.16267952789161</v>
      </c>
    </row>
    <row r="38" spans="4:6">
      <c r="D38">
        <f t="shared" si="8"/>
        <v>0.24999999999999997</v>
      </c>
      <c r="E38">
        <v>302.27490330955334</v>
      </c>
      <c r="F38">
        <v>197.77414082590025</v>
      </c>
    </row>
    <row r="39" spans="4:6">
      <c r="D39">
        <f t="shared" si="8"/>
        <v>0.27499999999999997</v>
      </c>
      <c r="E39">
        <v>306.4893481407571</v>
      </c>
      <c r="F39">
        <v>145.05513897736802</v>
      </c>
    </row>
    <row r="40" spans="4:6">
      <c r="D40">
        <f t="shared" si="8"/>
        <v>0.3</v>
      </c>
      <c r="E40">
        <v>309.53977225855425</v>
      </c>
      <c r="F40">
        <v>104.18515562871806</v>
      </c>
    </row>
    <row r="41" spans="4:6">
      <c r="D41">
        <f t="shared" si="8"/>
        <v>0.32500000000000001</v>
      </c>
      <c r="E41">
        <v>311.68560524386027</v>
      </c>
      <c r="F41">
        <v>72.349078292744053</v>
      </c>
    </row>
    <row r="42" spans="4:6">
      <c r="D42">
        <f t="shared" si="8"/>
        <v>0.35000000000000003</v>
      </c>
      <c r="E42">
        <v>313.12533783212064</v>
      </c>
      <c r="F42">
        <v>47.449868589258159</v>
      </c>
    </row>
    <row r="43" spans="4:6">
      <c r="D43">
        <f t="shared" si="8"/>
        <v>0.37500000000000006</v>
      </c>
      <c r="E43">
        <v>314.01184737286297</v>
      </c>
      <c r="F43">
        <v>27.909883761861764</v>
      </c>
    </row>
    <row r="44" spans="4:6">
      <c r="D44">
        <f t="shared" si="8"/>
        <v>0.40000000000000008</v>
      </c>
      <c r="E44">
        <v>314.46354547187036</v>
      </c>
      <c r="F44">
        <v>12.531573488635161</v>
      </c>
    </row>
    <row r="45" spans="4:6">
      <c r="D45">
        <f t="shared" si="8"/>
        <v>0.4250000000000001</v>
      </c>
      <c r="E45">
        <v>314.57257834441043</v>
      </c>
      <c r="F45">
        <v>0.39854969244524341</v>
      </c>
    </row>
    <row r="46" spans="4:6">
      <c r="D46">
        <f t="shared" si="8"/>
        <v>0.45000000000000012</v>
      </c>
      <c r="E46">
        <v>314.41092213866676</v>
      </c>
      <c r="F46">
        <v>-9.195508461303163</v>
      </c>
    </row>
    <row r="47" spans="4:6">
      <c r="D47">
        <f t="shared" si="8"/>
        <v>0.47500000000000014</v>
      </c>
      <c r="E47">
        <v>314.03495747521663</v>
      </c>
      <c r="F47">
        <v>-16.798512054026759</v>
      </c>
    </row>
    <row r="48" spans="4:6">
      <c r="D48">
        <f t="shared" si="8"/>
        <v>0.50000000000000011</v>
      </c>
      <c r="E48">
        <v>313.48893349889414</v>
      </c>
      <c r="F48">
        <v>-22.837885105000339</v>
      </c>
    </row>
    <row r="49" spans="4:6">
      <c r="D49">
        <f t="shared" si="8"/>
        <v>0.52500000000000013</v>
      </c>
      <c r="E49">
        <v>312.8076128961419</v>
      </c>
      <c r="F49">
        <v>-27.648674643340613</v>
      </c>
    </row>
    <row r="50" spans="4:6">
      <c r="D50">
        <f t="shared" si="8"/>
        <v>0.55000000000000016</v>
      </c>
      <c r="E50">
        <v>312.01830713294424</v>
      </c>
      <c r="F50">
        <v>-31.494577731248867</v>
      </c>
    </row>
    <row r="51" spans="4:6">
      <c r="D51">
        <f t="shared" si="8"/>
        <v>0.57500000000000018</v>
      </c>
      <c r="E51">
        <v>311.14245366355613</v>
      </c>
      <c r="F51">
        <v>-34.583806005279939</v>
      </c>
    </row>
    <row r="52" spans="4:6">
      <c r="D52">
        <f t="shared" si="8"/>
        <v>0.6000000000000002</v>
      </c>
      <c r="E52">
        <v>310.19684619992387</v>
      </c>
      <c r="F52">
        <v>-37.081153015160851</v>
      </c>
    </row>
    <row r="53" spans="4:6">
      <c r="D53">
        <f t="shared" si="8"/>
        <v>0.62500000000000022</v>
      </c>
      <c r="E53">
        <v>309.19460009381987</v>
      </c>
      <c r="F53">
        <v>-39.117244290781855</v>
      </c>
    </row>
    <row r="54" spans="4:6">
      <c r="D54">
        <f t="shared" si="8"/>
        <v>0.65000000000000024</v>
      </c>
      <c r="E54">
        <v>308.1459139509634</v>
      </c>
      <c r="F54">
        <v>-40.795679889399096</v>
      </c>
    </row>
    <row r="55" spans="4:6">
      <c r="D55">
        <f t="shared" si="8"/>
        <v>0.67500000000000027</v>
      </c>
      <c r="E55">
        <v>307.05867337257177</v>
      </c>
      <c r="F55">
        <v>-42.198587912196004</v>
      </c>
    </row>
    <row r="56" spans="4:6">
      <c r="D56">
        <f t="shared" si="8"/>
        <v>0.70000000000000029</v>
      </c>
      <c r="E56">
        <v>305.93893155493208</v>
      </c>
      <c r="F56">
        <v>-43.390970850172423</v>
      </c>
    </row>
    <row r="57" spans="4:6">
      <c r="D57">
        <f t="shared" si="8"/>
        <v>0.72500000000000031</v>
      </c>
      <c r="E57">
        <v>304.79129322411336</v>
      </c>
      <c r="F57">
        <v>-44.424128181140915</v>
      </c>
    </row>
    <row r="58" spans="4:6">
      <c r="D58">
        <f t="shared" si="8"/>
        <v>0.75000000000000033</v>
      </c>
      <c r="E58">
        <v>303.61922223522328</v>
      </c>
      <c r="F58">
        <v>-45.338367142535859</v>
      </c>
    </row>
    <row r="59" spans="4:6">
      <c r="D59">
        <f t="shared" si="8"/>
        <v>0.77500000000000036</v>
      </c>
      <c r="E59">
        <v>302.42528855291948</v>
      </c>
      <c r="F59">
        <v>-46.165161276654544</v>
      </c>
    </row>
    <row r="60" spans="4:6">
      <c r="D60">
        <f t="shared" si="8"/>
        <v>0.80000000000000038</v>
      </c>
      <c r="E60">
        <v>301.21136684463193</v>
      </c>
      <c r="F60">
        <v>-46.928877766754439</v>
      </c>
    </row>
    <row r="61" spans="4:6">
      <c r="D61">
        <f t="shared" si="8"/>
        <v>0.8250000000000004</v>
      </c>
      <c r="E61">
        <v>299.97879626664962</v>
      </c>
      <c r="F61">
        <v>-47.648165942958599</v>
      </c>
    </row>
    <row r="62" spans="4:6">
      <c r="D62">
        <f t="shared" si="8"/>
        <v>0.85000000000000042</v>
      </c>
      <c r="E62">
        <v>298.7285089930171</v>
      </c>
      <c r="F62">
        <v>-48.337077933621018</v>
      </c>
    </row>
    <row r="63" spans="4:6">
      <c r="D63">
        <f t="shared" si="8"/>
        <v>0.87500000000000044</v>
      </c>
      <c r="E63">
        <v>297.46113347257716</v>
      </c>
      <c r="F63">
        <v>-49.00597633950062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M6"/>
  <sheetViews>
    <sheetView workbookViewId="0">
      <selection activeCell="G16" sqref="G16"/>
    </sheetView>
  </sheetViews>
  <sheetFormatPr baseColWidth="10" defaultRowHeight="15" x14ac:dyDescent="0"/>
  <sheetData>
    <row r="1" spans="1:13">
      <c r="A1" t="s">
        <v>17</v>
      </c>
      <c r="B1">
        <v>0.29999994000000002</v>
      </c>
      <c r="F1" t="s">
        <v>76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</row>
    <row r="2" spans="1:13">
      <c r="A2" t="s">
        <v>86</v>
      </c>
      <c r="B2">
        <v>1947.9935</v>
      </c>
      <c r="F2" t="s">
        <v>23</v>
      </c>
      <c r="G2">
        <v>4.1512218000000004E-3</v>
      </c>
      <c r="H2">
        <v>8.4883920000000002E-2</v>
      </c>
      <c r="I2">
        <v>0.60248838999999998</v>
      </c>
      <c r="J2">
        <v>1.8458540000000001</v>
      </c>
      <c r="K2">
        <v>1.7442917</v>
      </c>
      <c r="L2">
        <v>1.3591654</v>
      </c>
      <c r="M2">
        <v>1.3591654</v>
      </c>
    </row>
    <row r="3" spans="1:13">
      <c r="A3" t="s">
        <v>87</v>
      </c>
      <c r="B3">
        <v>1.8466103</v>
      </c>
      <c r="F3" t="s">
        <v>85</v>
      </c>
      <c r="G3">
        <v>2089.2150999999999</v>
      </c>
      <c r="H3">
        <v>1535.9096999999999</v>
      </c>
      <c r="I3">
        <v>972.75351000000001</v>
      </c>
      <c r="J3">
        <v>236.88376</v>
      </c>
      <c r="K3">
        <v>5.8066087</v>
      </c>
      <c r="L3">
        <v>0.17169596000000001</v>
      </c>
      <c r="M3">
        <v>1.1000930000000001E-2</v>
      </c>
    </row>
    <row r="4" spans="1:13">
      <c r="F4" t="s">
        <v>20</v>
      </c>
      <c r="G4">
        <v>1.0120703</v>
      </c>
      <c r="H4">
        <v>1.3858045999999999</v>
      </c>
      <c r="I4">
        <v>1.7250156000000001</v>
      </c>
      <c r="J4">
        <v>2.0174224000000001</v>
      </c>
      <c r="K4">
        <v>2.2609203999999998</v>
      </c>
      <c r="L4">
        <v>2.4588796999999998</v>
      </c>
      <c r="M4">
        <v>2.6170890999999998</v>
      </c>
    </row>
    <row r="5" spans="1:13">
      <c r="A5" t="s">
        <v>89</v>
      </c>
      <c r="B5">
        <f>SUM(ca)</f>
        <v>1722.0766869160302</v>
      </c>
      <c r="F5" t="s">
        <v>35</v>
      </c>
      <c r="G5">
        <f t="shared" ref="G5:M5" si="0">m+ft*va</f>
        <v>0.30766562893346455</v>
      </c>
      <c r="H5">
        <f t="shared" si="0"/>
        <v>0.45674746097637603</v>
      </c>
      <c r="I5">
        <f t="shared" si="0"/>
        <v>1.4125612066044169</v>
      </c>
      <c r="J5">
        <f t="shared" si="0"/>
        <v>3.7085729486962005</v>
      </c>
      <c r="K5">
        <f t="shared" si="0"/>
        <v>3.52102695942451</v>
      </c>
      <c r="L5">
        <f t="shared" si="0"/>
        <v>2.8098487670436203</v>
      </c>
      <c r="M5">
        <f t="shared" si="0"/>
        <v>2.8098487670436203</v>
      </c>
    </row>
    <row r="6" spans="1:13">
      <c r="F6" t="s">
        <v>88</v>
      </c>
      <c r="G6">
        <f t="shared" ref="G6:M6" si="1">ft*va/za*(1-EXP(-za))*na*wa</f>
        <v>13.952365125364416</v>
      </c>
      <c r="H6">
        <f t="shared" si="1"/>
        <v>267.82767025976096</v>
      </c>
      <c r="I6">
        <f t="shared" si="1"/>
        <v>999.7942723756812</v>
      </c>
      <c r="J6">
        <f t="shared" si="1"/>
        <v>428.46921031081189</v>
      </c>
      <c r="K6">
        <f t="shared" si="1"/>
        <v>11.65460309739872</v>
      </c>
      <c r="L6">
        <f t="shared" si="1"/>
        <v>0.35439770575008267</v>
      </c>
      <c r="M6">
        <f t="shared" si="1"/>
        <v>2.416804126322869E-2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V127"/>
  <sheetViews>
    <sheetView topLeftCell="A3" zoomScale="125" zoomScaleNormal="125" zoomScalePageLayoutView="125" workbookViewId="0">
      <selection activeCell="C10" sqref="C10"/>
    </sheetView>
  </sheetViews>
  <sheetFormatPr baseColWidth="10" defaultRowHeight="15" x14ac:dyDescent="0"/>
  <cols>
    <col min="6" max="6" width="10.1640625" customWidth="1"/>
    <col min="7" max="12" width="8.6640625" customWidth="1"/>
  </cols>
  <sheetData>
    <row r="1" spans="1:22">
      <c r="A1" t="s">
        <v>15</v>
      </c>
      <c r="B1">
        <v>3598.1</v>
      </c>
      <c r="E1" t="s">
        <v>76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</row>
    <row r="2" spans="1:22">
      <c r="A2" t="s">
        <v>16</v>
      </c>
      <c r="B2">
        <v>0.62302999999999997</v>
      </c>
      <c r="E2" t="s">
        <v>20</v>
      </c>
      <c r="F2">
        <v>1.0121</v>
      </c>
      <c r="G2">
        <v>1.3857999999999999</v>
      </c>
      <c r="H2">
        <v>1.7250000000000001</v>
      </c>
      <c r="I2">
        <v>2.0173999999999999</v>
      </c>
      <c r="J2">
        <v>2.2608999999999999</v>
      </c>
      <c r="K2">
        <v>2.4588999999999999</v>
      </c>
      <c r="L2">
        <v>2.6171000000000002</v>
      </c>
    </row>
    <row r="3" spans="1:22">
      <c r="A3" t="s">
        <v>17</v>
      </c>
      <c r="B3">
        <v>0.3</v>
      </c>
      <c r="E3" t="s">
        <v>21</v>
      </c>
      <c r="F3">
        <v>7.2924000000000003E-2</v>
      </c>
      <c r="G3">
        <v>0.66935</v>
      </c>
      <c r="H3">
        <v>1.5841000000000001</v>
      </c>
      <c r="I3">
        <v>2.0026000000000002</v>
      </c>
      <c r="J3">
        <v>2.2595000000000001</v>
      </c>
      <c r="K3">
        <v>2.4588000000000001</v>
      </c>
      <c r="L3">
        <v>2.6171000000000002</v>
      </c>
    </row>
    <row r="4" spans="1:22">
      <c r="A4" t="s">
        <v>30</v>
      </c>
      <c r="B4">
        <v>0.2</v>
      </c>
      <c r="C4">
        <v>0.45224389999999998</v>
      </c>
      <c r="E4" t="s">
        <v>23</v>
      </c>
      <c r="F4">
        <v>4.1511999999999999E-3</v>
      </c>
      <c r="G4">
        <v>8.4884000000000001E-2</v>
      </c>
      <c r="H4">
        <v>0.60248999999999997</v>
      </c>
      <c r="I4">
        <v>1.8459000000000001</v>
      </c>
      <c r="J4">
        <v>1.7443</v>
      </c>
      <c r="K4">
        <v>1.3592</v>
      </c>
      <c r="L4">
        <v>1.3592</v>
      </c>
      <c r="P4">
        <v>4.1511999999999999E-3</v>
      </c>
      <c r="Q4">
        <v>8.4884000000000001E-2</v>
      </c>
      <c r="R4">
        <v>0.60248999999999997</v>
      </c>
      <c r="S4">
        <v>1.8459000000000001</v>
      </c>
      <c r="T4">
        <v>1.7443</v>
      </c>
      <c r="U4">
        <v>1.3592</v>
      </c>
      <c r="V4">
        <v>1.3592</v>
      </c>
    </row>
    <row r="5" spans="1:22">
      <c r="A5" t="s">
        <v>77</v>
      </c>
      <c r="B5">
        <f>4*h/(1-h)</f>
        <v>6.6109239462026146</v>
      </c>
      <c r="E5" t="s">
        <v>35</v>
      </c>
      <c r="F5">
        <f t="shared" ref="F5:L5" si="0">m+fe*va</f>
        <v>0.30083023999999997</v>
      </c>
      <c r="G5">
        <f t="shared" si="0"/>
        <v>0.3169768</v>
      </c>
      <c r="H5">
        <f t="shared" si="0"/>
        <v>0.42049799999999998</v>
      </c>
      <c r="I5">
        <f t="shared" si="0"/>
        <v>0.66918000000000011</v>
      </c>
      <c r="J5">
        <f t="shared" si="0"/>
        <v>0.64885999999999999</v>
      </c>
      <c r="K5">
        <f t="shared" si="0"/>
        <v>0.57184000000000001</v>
      </c>
      <c r="L5">
        <f t="shared" si="0"/>
        <v>0.57184000000000001</v>
      </c>
    </row>
    <row r="6" spans="1:22">
      <c r="A6" t="s">
        <v>29</v>
      </c>
      <c r="B6" s="2">
        <v>1E-4</v>
      </c>
      <c r="E6" s="5" t="s">
        <v>60</v>
      </c>
      <c r="F6" s="5">
        <f t="shared" ref="F6:L6" si="1">EXP(-za)</f>
        <v>0.74020341901396258</v>
      </c>
      <c r="G6" s="5">
        <f t="shared" si="1"/>
        <v>0.72834765259523049</v>
      </c>
      <c r="H6" s="5">
        <f t="shared" si="1"/>
        <v>0.65671969196038549</v>
      </c>
      <c r="I6" s="5">
        <f t="shared" si="1"/>
        <v>0.51212835090378417</v>
      </c>
      <c r="J6" s="5">
        <f t="shared" si="1"/>
        <v>0.52264124830081171</v>
      </c>
      <c r="K6" s="5">
        <f t="shared" si="1"/>
        <v>0.56448582862690544</v>
      </c>
      <c r="L6" s="5">
        <f t="shared" si="1"/>
        <v>0.56448582862690544</v>
      </c>
    </row>
    <row r="7" spans="1:22">
      <c r="A7" t="s">
        <v>91</v>
      </c>
      <c r="B7" s="2">
        <f>fe+dh</f>
        <v>0.2001</v>
      </c>
      <c r="E7" t="s">
        <v>61</v>
      </c>
      <c r="F7">
        <f t="shared" ref="F7:L7" si="2">1-sa</f>
        <v>0.25979658098603742</v>
      </c>
      <c r="G7">
        <f t="shared" si="2"/>
        <v>0.27165234740476951</v>
      </c>
      <c r="H7">
        <f t="shared" si="2"/>
        <v>0.34328030803961451</v>
      </c>
      <c r="I7">
        <f t="shared" si="2"/>
        <v>0.48787164909621583</v>
      </c>
      <c r="J7">
        <f t="shared" si="2"/>
        <v>0.47735875169918829</v>
      </c>
      <c r="K7">
        <f t="shared" si="2"/>
        <v>0.43551417137309456</v>
      </c>
      <c r="L7">
        <f t="shared" si="2"/>
        <v>0.43551417137309456</v>
      </c>
    </row>
    <row r="8" spans="1:22">
      <c r="A8" t="s">
        <v>92</v>
      </c>
      <c r="B8">
        <f>fe-dh</f>
        <v>0.19990000000000002</v>
      </c>
      <c r="E8" t="s">
        <v>22</v>
      </c>
      <c r="F8">
        <f t="shared" ref="F8:K8" si="3">EXP(-m*(age-1)-zf*m)</f>
        <v>1</v>
      </c>
      <c r="G8">
        <f t="shared" si="3"/>
        <v>0.74081822068171788</v>
      </c>
      <c r="H8">
        <f t="shared" si="3"/>
        <v>0.54881163609402639</v>
      </c>
      <c r="I8">
        <f t="shared" si="3"/>
        <v>0.40656965974059917</v>
      </c>
      <c r="J8">
        <f t="shared" si="3"/>
        <v>0.30119421191220214</v>
      </c>
      <c r="K8">
        <f t="shared" si="3"/>
        <v>0.22313016014842982</v>
      </c>
      <c r="L8">
        <f>EXP(-m*(age-1)-zf*m)/(1-EXP(-m))</f>
        <v>0.63777202493310736</v>
      </c>
    </row>
    <row r="9" spans="1:22">
      <c r="A9" s="6" t="s">
        <v>90</v>
      </c>
      <c r="B9" s="10">
        <v>0</v>
      </c>
      <c r="C9">
        <f>SUMPRODUCT(lx*EXP(-m/2),fa)</f>
        <v>4.4332085644956951</v>
      </c>
      <c r="E9" t="s">
        <v>25</v>
      </c>
      <c r="F9">
        <f t="shared" ref="F9:K9" si="4">lw*EXP(-zf*za)</f>
        <v>1</v>
      </c>
      <c r="G9">
        <f t="shared" si="4"/>
        <v>0.74020341901396258</v>
      </c>
      <c r="H9">
        <f t="shared" si="4"/>
        <v>0.53912542268178343</v>
      </c>
      <c r="I9">
        <f t="shared" si="4"/>
        <v>0.35405428151159346</v>
      </c>
      <c r="J9">
        <f t="shared" si="4"/>
        <v>0.18132123532095651</v>
      </c>
      <c r="K9">
        <f t="shared" si="4"/>
        <v>9.4765956771589943E-2</v>
      </c>
      <c r="L9">
        <f>K10*EXP(-K5-zf*za)/(1-EXP(-za))</f>
        <v>0.12282961875884721</v>
      </c>
    </row>
    <row r="10" spans="1:22">
      <c r="A10" t="s">
        <v>37</v>
      </c>
      <c r="B10">
        <f>SUMPRODUCT(lx,fa)</f>
        <v>5.1506535153873942</v>
      </c>
      <c r="C10">
        <v>4.4332085644956951</v>
      </c>
      <c r="E10" s="9" t="s">
        <v>95</v>
      </c>
      <c r="F10" s="9">
        <v>1</v>
      </c>
      <c r="G10" s="9">
        <f>F10*EXP(-F5)</f>
        <v>0.74020341901396258</v>
      </c>
      <c r="H10" s="9">
        <f>G10*EXP(-G5)</f>
        <v>0.53912542268178343</v>
      </c>
      <c r="I10" s="9">
        <f>H10*EXP(-H5)</f>
        <v>0.35405428151159346</v>
      </c>
      <c r="J10" s="9">
        <f>I10*EXP(-I5)</f>
        <v>0.18132123532095651</v>
      </c>
      <c r="K10" s="9">
        <f>J10*EXP(-J5)</f>
        <v>9.4765956771589943E-2</v>
      </c>
      <c r="L10" s="9">
        <f>K10*EXP(-K5)/(1-EXP(-za))</f>
        <v>0.12282961875884721</v>
      </c>
    </row>
    <row r="11" spans="1:22">
      <c r="A11" t="s">
        <v>38</v>
      </c>
      <c r="B11">
        <f>SUMPRODUCT(lz,fa)</f>
        <v>3.0956001057137921</v>
      </c>
    </row>
    <row r="12" spans="1:22">
      <c r="A12" t="s">
        <v>51</v>
      </c>
      <c r="B12">
        <f>ro*(kappa-phie/phif)/(kappa-1)</f>
        <v>3172.3868084604778</v>
      </c>
      <c r="E12" t="s">
        <v>26</v>
      </c>
      <c r="F12">
        <f t="shared" ref="F12:K12" si="5">lw*EXP(-zf*(m+feh*va))</f>
        <v>1</v>
      </c>
      <c r="G12">
        <f t="shared" si="5"/>
        <v>0.74020341901396258</v>
      </c>
      <c r="H12">
        <f t="shared" si="5"/>
        <v>0.53912542268178343</v>
      </c>
      <c r="I12">
        <f t="shared" si="5"/>
        <v>0.35405428151159346</v>
      </c>
      <c r="J12">
        <f t="shared" si="5"/>
        <v>0.18132123532095651</v>
      </c>
      <c r="K12">
        <f t="shared" si="5"/>
        <v>9.4765956771589943E-2</v>
      </c>
      <c r="L12">
        <f>K10*EXP(-(m+feh*va)-zf*(m+feh*va))/(1-EXP(-(m+feh*va)))</f>
        <v>0.12279129411160845</v>
      </c>
    </row>
    <row r="13" spans="1:22">
      <c r="A13" t="s">
        <v>41</v>
      </c>
      <c r="B13">
        <f>SUMPRODUCT(lw,qa)</f>
        <v>2.5969596166632289</v>
      </c>
      <c r="E13" t="s">
        <v>26</v>
      </c>
      <c r="F13">
        <f t="shared" ref="F13:K13" si="6">lw*EXP(-zf*(m+fem*va))</f>
        <v>1</v>
      </c>
      <c r="G13">
        <f t="shared" si="6"/>
        <v>0.74020341901396258</v>
      </c>
      <c r="H13">
        <f t="shared" si="6"/>
        <v>0.53912542268178343</v>
      </c>
      <c r="I13">
        <f t="shared" si="6"/>
        <v>0.35405428151159346</v>
      </c>
      <c r="J13">
        <f t="shared" si="6"/>
        <v>0.18132123532095651</v>
      </c>
      <c r="K13">
        <f t="shared" si="6"/>
        <v>9.4765956771589943E-2</v>
      </c>
      <c r="L13">
        <f>K10*EXP(-(m+fem*va)-zf*(m+fem*va))/(1-EXP(-(m+fem*va)))</f>
        <v>0.12286796212311486</v>
      </c>
    </row>
    <row r="14" spans="1:22">
      <c r="A14" t="s">
        <v>99</v>
      </c>
      <c r="B14">
        <f>kappa/phie</f>
        <v>1.2835116799164832</v>
      </c>
      <c r="E14" t="s">
        <v>79</v>
      </c>
      <c r="F14">
        <f t="shared" ref="F14:L14" si="7">(F12-F9)/dh</f>
        <v>0</v>
      </c>
      <c r="G14">
        <f t="shared" si="7"/>
        <v>0</v>
      </c>
      <c r="H14">
        <f t="shared" si="7"/>
        <v>0</v>
      </c>
      <c r="I14">
        <f t="shared" si="7"/>
        <v>0</v>
      </c>
      <c r="J14">
        <f t="shared" si="7"/>
        <v>0</v>
      </c>
      <c r="K14">
        <f t="shared" si="7"/>
        <v>0</v>
      </c>
      <c r="L14">
        <f t="shared" si="7"/>
        <v>-0.3832464723875495</v>
      </c>
    </row>
    <row r="15" spans="1:22">
      <c r="A15" t="s">
        <v>100</v>
      </c>
      <c r="B15">
        <f>(kappa-1)/(ro*phie)</f>
        <v>3.0276022332504049E-4</v>
      </c>
      <c r="E15" t="s">
        <v>78</v>
      </c>
      <c r="F15">
        <f t="shared" ref="F15:K15" si="8">-lw*zf*va*EXP(-zf*za)</f>
        <v>0</v>
      </c>
      <c r="G15">
        <f t="shared" si="8"/>
        <v>0</v>
      </c>
      <c r="H15">
        <f t="shared" si="8"/>
        <v>0</v>
      </c>
      <c r="I15">
        <f t="shared" si="8"/>
        <v>0</v>
      </c>
      <c r="J15">
        <f t="shared" si="8"/>
        <v>0</v>
      </c>
      <c r="K15">
        <f t="shared" si="8"/>
        <v>0</v>
      </c>
      <c r="L15">
        <f>-K10*K6*zf*va*EXP(-zf*za)/oa - K10*EXP(-zf*za)*va*sa/(oa)^2</f>
        <v>-0.38334003527523108</v>
      </c>
    </row>
    <row r="16" spans="1:22">
      <c r="A16" t="s">
        <v>48</v>
      </c>
      <c r="B16">
        <f>SUMPRODUCT(dlw,fa)</f>
        <v>-4.985296603629978</v>
      </c>
      <c r="E16" s="9" t="s">
        <v>96</v>
      </c>
      <c r="F16" s="9">
        <v>0</v>
      </c>
      <c r="G16" s="9">
        <f>F16*F6-F10*F4*F6</f>
        <v>-3.0727324330107613E-3</v>
      </c>
      <c r="H16" s="9">
        <f>G16*G6-G10*G4*G6</f>
        <v>-4.8001139833557131E-2</v>
      </c>
      <c r="I16" s="9">
        <f>H16*H6-H10*H4*H6</f>
        <v>-0.24483745783316097</v>
      </c>
      <c r="J16" s="9">
        <f>I16*I6-I10*I4*I6</f>
        <v>-0.46008907179852521</v>
      </c>
      <c r="K16" s="9">
        <f>J16*J6-J10*J4*J6</f>
        <v>-0.40576178521102735</v>
      </c>
      <c r="L16" s="9">
        <f>(K16*K6-K10*K4*K6)/oa - K10*K6*va*sa/oa^2</f>
        <v>-0.90926270922137997</v>
      </c>
    </row>
    <row r="17" spans="1:14">
      <c r="A17" t="s">
        <v>43</v>
      </c>
      <c r="B17">
        <f>SUM(dqa)</f>
        <v>-7.2195390106458692</v>
      </c>
      <c r="E17" t="s">
        <v>93</v>
      </c>
      <c r="F17">
        <f t="shared" ref="F17:K17" si="9">lw*zf^2*va^2*EXP(-zf*za)</f>
        <v>0</v>
      </c>
      <c r="G17">
        <f t="shared" si="9"/>
        <v>0</v>
      </c>
      <c r="H17">
        <f t="shared" si="9"/>
        <v>0</v>
      </c>
      <c r="I17">
        <f t="shared" si="9"/>
        <v>0</v>
      </c>
      <c r="J17">
        <f t="shared" si="9"/>
        <v>0</v>
      </c>
      <c r="K17">
        <f t="shared" si="9"/>
        <v>0</v>
      </c>
      <c r="L17">
        <f>K10*zf^2*va^2*EXP(-zf*za)/oa  +  2*K10*zf*va^2*EXP(-zf*za)*sa/oa^2  +  2*K10*EXP(-zf*za)*va^2*sa^2/oa^3  +  K10*EXP(-zf*za)*va^2*sa/oa^2</f>
        <v>1.8717027854805797</v>
      </c>
    </row>
    <row r="18" spans="1:14">
      <c r="A18" t="s">
        <v>46</v>
      </c>
      <c r="B18">
        <f>ro*phie*dphif/(phif^2*(kappa-1))</f>
        <v>-1718.3138060461404</v>
      </c>
      <c r="E18" t="s">
        <v>94</v>
      </c>
      <c r="F18">
        <f t="shared" ref="F18:L18" si="10">(F12-2*F9+F13)/dh^2</f>
        <v>0</v>
      </c>
      <c r="G18">
        <f t="shared" si="10"/>
        <v>0</v>
      </c>
      <c r="H18">
        <f t="shared" si="10"/>
        <v>0</v>
      </c>
      <c r="I18">
        <f t="shared" si="10"/>
        <v>0</v>
      </c>
      <c r="J18">
        <f t="shared" si="10"/>
        <v>0</v>
      </c>
      <c r="K18">
        <f t="shared" si="10"/>
        <v>0</v>
      </c>
      <c r="L18">
        <f t="shared" si="10"/>
        <v>1.8717028898995736</v>
      </c>
    </row>
    <row r="19" spans="1:14">
      <c r="A19" t="s">
        <v>103</v>
      </c>
      <c r="B19">
        <f>ro*phie</f>
        <v>18532.566413715384</v>
      </c>
      <c r="E19" t="s">
        <v>39</v>
      </c>
      <c r="F19">
        <f t="shared" ref="F19:L19" si="11">wa*va/za*oa</f>
        <v>3.6283487476186189E-3</v>
      </c>
      <c r="G19">
        <f t="shared" si="11"/>
        <v>0.10081203445292565</v>
      </c>
      <c r="H19">
        <f t="shared" si="11"/>
        <v>0.84844539941713915</v>
      </c>
      <c r="I19">
        <f t="shared" si="11"/>
        <v>2.7149561220514213</v>
      </c>
      <c r="J19">
        <f t="shared" si="11"/>
        <v>2.9013252761989192</v>
      </c>
      <c r="K19">
        <f t="shared" si="11"/>
        <v>2.5453762834160942</v>
      </c>
      <c r="L19">
        <f t="shared" si="11"/>
        <v>2.7091399696320555</v>
      </c>
    </row>
    <row r="20" spans="1:14">
      <c r="A20" t="s">
        <v>101</v>
      </c>
      <c r="B20">
        <f>re*phif</f>
        <v>9820.4409396352949</v>
      </c>
      <c r="E20" t="s">
        <v>80</v>
      </c>
      <c r="F20">
        <f t="shared" ref="F20:L20" si="12">wa*oa*va/za*dlw+lw*wa*va^p*sa/za - lw*wa*va^p*oa/za^2</f>
        <v>-7.1539768408972919E-6</v>
      </c>
      <c r="G20">
        <f t="shared" si="12"/>
        <v>-3.3098146608241501E-3</v>
      </c>
      <c r="H20">
        <f t="shared" si="12"/>
        <v>-0.16889262838834473</v>
      </c>
      <c r="I20">
        <f t="shared" si="12"/>
        <v>-1.4536848217316871</v>
      </c>
      <c r="J20">
        <f t="shared" si="12"/>
        <v>-1.7444087274615701</v>
      </c>
      <c r="K20">
        <f t="shared" si="12"/>
        <v>-1.1812070470506484</v>
      </c>
      <c r="L20">
        <f t="shared" si="12"/>
        <v>-2.6680288173759541</v>
      </c>
    </row>
    <row r="21" spans="1:14">
      <c r="A21" t="s">
        <v>104</v>
      </c>
      <c r="B21">
        <f>re*SUMPRODUCT(lw,fa)</f>
        <v>9820.4409396352949</v>
      </c>
    </row>
    <row r="22" spans="1:14">
      <c r="A22" t="s">
        <v>83</v>
      </c>
      <c r="B22">
        <v>2.5000000000000001E-2</v>
      </c>
    </row>
    <row r="23" spans="1:14">
      <c r="A23" t="s">
        <v>81</v>
      </c>
      <c r="B23">
        <f>fe*re*phiq</f>
        <v>1647.7120860014015</v>
      </c>
    </row>
    <row r="24" spans="1:14">
      <c r="A24" t="s">
        <v>82</v>
      </c>
      <c r="B24">
        <f>re*phiq+fe*re*dphiq+fe*phiq*dre</f>
        <v>2765.4480532879093</v>
      </c>
      <c r="F24">
        <f t="shared" ref="F24:L24" si="13">F27*EXP(-zf*za)</f>
        <v>3172.3868084604778</v>
      </c>
      <c r="G24">
        <f t="shared" si="13"/>
        <v>2348.2115620572386</v>
      </c>
      <c r="H24">
        <f t="shared" si="13"/>
        <v>1710.3143790213689</v>
      </c>
      <c r="I24">
        <f t="shared" si="13"/>
        <v>1123.1971321463316</v>
      </c>
      <c r="J24">
        <f t="shared" si="13"/>
        <v>575.22109502596049</v>
      </c>
      <c r="K24">
        <f t="shared" si="13"/>
        <v>300.6342711533278</v>
      </c>
      <c r="L24">
        <f t="shared" si="13"/>
        <v>389.66306223879656</v>
      </c>
      <c r="M24">
        <f>SUMPRODUCT(F24:L24,fa)</f>
        <v>9820.440939635293</v>
      </c>
    </row>
    <row r="25" spans="1:14">
      <c r="A25" t="s">
        <v>84</v>
      </c>
      <c r="B25">
        <v>2</v>
      </c>
      <c r="F25">
        <f t="shared" ref="F25:L25" si="14">ro*lx</f>
        <v>3598.1</v>
      </c>
      <c r="G25">
        <f t="shared" si="14"/>
        <v>2665.5380398348889</v>
      </c>
      <c r="H25">
        <f t="shared" si="14"/>
        <v>1974.6791478299162</v>
      </c>
      <c r="I25">
        <f t="shared" si="14"/>
        <v>1462.8782927126499</v>
      </c>
      <c r="J25">
        <f t="shared" si="14"/>
        <v>1083.7268938812945</v>
      </c>
      <c r="K25">
        <f t="shared" si="14"/>
        <v>802.84462923006527</v>
      </c>
      <c r="L25">
        <f t="shared" si="14"/>
        <v>2294.7675229118136</v>
      </c>
      <c r="M25">
        <f>SUMPRODUCT(F25:L25,fa)</f>
        <v>18532.566413715384</v>
      </c>
    </row>
    <row r="26" spans="1:14">
      <c r="A26" t="s">
        <v>30</v>
      </c>
      <c r="B26" t="s">
        <v>81</v>
      </c>
      <c r="C26" t="s">
        <v>82</v>
      </c>
      <c r="E26" t="s">
        <v>97</v>
      </c>
      <c r="F26">
        <v>1</v>
      </c>
      <c r="G26">
        <v>2</v>
      </c>
      <c r="H26">
        <v>3</v>
      </c>
      <c r="I26">
        <v>4</v>
      </c>
      <c r="J26">
        <v>5</v>
      </c>
      <c r="K26">
        <v>6</v>
      </c>
      <c r="L26">
        <v>7</v>
      </c>
      <c r="M26" t="s">
        <v>98</v>
      </c>
      <c r="N26" t="s">
        <v>102</v>
      </c>
    </row>
    <row r="27" spans="1:14">
      <c r="A27">
        <v>0</v>
      </c>
      <c r="B27">
        <f>ye</f>
        <v>1647.7120860014015</v>
      </c>
      <c r="C27">
        <f>dye</f>
        <v>2765.4480532879093</v>
      </c>
      <c r="E27">
        <v>1900</v>
      </c>
      <c r="F27">
        <f t="shared" ref="F27:L27" si="15">re*lw</f>
        <v>3172.3868084604778</v>
      </c>
      <c r="G27">
        <f t="shared" si="15"/>
        <v>2348.2115620572386</v>
      </c>
      <c r="H27">
        <f t="shared" si="15"/>
        <v>1710.3143790213689</v>
      </c>
      <c r="I27">
        <f t="shared" si="15"/>
        <v>1123.1971321463316</v>
      </c>
      <c r="J27">
        <f t="shared" si="15"/>
        <v>575.22109502596049</v>
      </c>
      <c r="K27">
        <f t="shared" si="15"/>
        <v>300.6342711533278</v>
      </c>
      <c r="L27">
        <f t="shared" si="15"/>
        <v>389.66306223879656</v>
      </c>
      <c r="M27">
        <f t="shared" ref="M27:M58" si="16">SUMPRODUCT(F27:L27,EXP(-zf*(m+fe*va)),fa)</f>
        <v>9820.440939635293</v>
      </c>
      <c r="N27">
        <f>SUMPRODUCT(F27:L27,fa)</f>
        <v>9820.440939635293</v>
      </c>
    </row>
    <row r="28" spans="1:14">
      <c r="A28">
        <f t="shared" ref="A28:A62" si="17">A27+dfe</f>
        <v>2.5000000000000001E-2</v>
      </c>
      <c r="B28">
        <f t="dataTable" ref="B28:C62" dt2D="0" dtr="0" r1="B4"/>
        <v>430.15274549193066</v>
      </c>
      <c r="C28">
        <v>14876.971363107168</v>
      </c>
      <c r="E28">
        <v>1901</v>
      </c>
      <c r="F28">
        <f t="shared" ref="F28:F59" si="18">so*M27/(1+beta*M27)</f>
        <v>3172.3868084604774</v>
      </c>
      <c r="G28">
        <f t="shared" ref="G28:K37" si="19">F27*EXP(-m-fe*F$4)</f>
        <v>2348.2115620572386</v>
      </c>
      <c r="H28">
        <f t="shared" si="19"/>
        <v>1710.3143790213692</v>
      </c>
      <c r="I28">
        <f t="shared" si="19"/>
        <v>1123.1971321463313</v>
      </c>
      <c r="J28">
        <f t="shared" si="19"/>
        <v>575.22109502596049</v>
      </c>
      <c r="K28">
        <f t="shared" si="19"/>
        <v>300.6342711533278</v>
      </c>
      <c r="L28">
        <f t="shared" ref="L28:L59" si="20">K27*EXP(-m-fe*K$4)+L27*EXP(-m-fe*va)</f>
        <v>389.6630622387965</v>
      </c>
      <c r="M28">
        <f t="shared" si="16"/>
        <v>9820.4409396352912</v>
      </c>
    </row>
    <row r="29" spans="1:14">
      <c r="A29">
        <f t="shared" si="17"/>
        <v>0.05</v>
      </c>
      <c r="B29">
        <v>755.6449057978981</v>
      </c>
      <c r="C29">
        <v>11353.549980458565</v>
      </c>
      <c r="E29">
        <v>1902</v>
      </c>
      <c r="F29">
        <f t="shared" si="18"/>
        <v>3172.3868084604778</v>
      </c>
      <c r="G29">
        <f t="shared" si="19"/>
        <v>2348.2115620572381</v>
      </c>
      <c r="H29">
        <f t="shared" si="19"/>
        <v>1710.3143790213692</v>
      </c>
      <c r="I29">
        <f t="shared" si="19"/>
        <v>1123.1971321463316</v>
      </c>
      <c r="J29">
        <f t="shared" si="19"/>
        <v>575.22109502596038</v>
      </c>
      <c r="K29">
        <f t="shared" si="19"/>
        <v>300.6342711533278</v>
      </c>
      <c r="L29">
        <f t="shared" si="20"/>
        <v>389.66306223879644</v>
      </c>
      <c r="M29">
        <f t="shared" si="16"/>
        <v>9820.440939635293</v>
      </c>
    </row>
    <row r="30" spans="1:14">
      <c r="A30">
        <f t="shared" si="17"/>
        <v>7.5000000000000011E-2</v>
      </c>
      <c r="B30">
        <v>1005.7194147127842</v>
      </c>
      <c r="C30">
        <v>8782.5081389592469</v>
      </c>
      <c r="E30">
        <v>1903</v>
      </c>
      <c r="F30">
        <f t="shared" si="18"/>
        <v>3172.3868084604774</v>
      </c>
      <c r="G30">
        <f t="shared" si="19"/>
        <v>2348.2115620572386</v>
      </c>
      <c r="H30">
        <f t="shared" si="19"/>
        <v>1710.3143790213687</v>
      </c>
      <c r="I30">
        <f t="shared" si="19"/>
        <v>1123.1971321463316</v>
      </c>
      <c r="J30">
        <f t="shared" si="19"/>
        <v>575.22109502596049</v>
      </c>
      <c r="K30">
        <f t="shared" si="19"/>
        <v>300.63427115332775</v>
      </c>
      <c r="L30">
        <f t="shared" si="20"/>
        <v>389.66306223879644</v>
      </c>
      <c r="M30">
        <f t="shared" si="16"/>
        <v>9820.4409396352912</v>
      </c>
    </row>
    <row r="31" spans="1:14">
      <c r="A31">
        <f t="shared" si="17"/>
        <v>0.1</v>
      </c>
      <c r="B31">
        <v>1200.2172010005124</v>
      </c>
      <c r="C31">
        <v>6868.4260126604886</v>
      </c>
      <c r="E31">
        <v>1904</v>
      </c>
      <c r="F31">
        <f t="shared" si="18"/>
        <v>3172.3868084604778</v>
      </c>
      <c r="G31">
        <f t="shared" si="19"/>
        <v>2348.2115620572381</v>
      </c>
      <c r="H31">
        <f t="shared" si="19"/>
        <v>1710.3143790213692</v>
      </c>
      <c r="I31">
        <f t="shared" si="19"/>
        <v>1123.1971321463313</v>
      </c>
      <c r="J31">
        <f t="shared" si="19"/>
        <v>575.22109502596049</v>
      </c>
      <c r="K31">
        <f t="shared" si="19"/>
        <v>300.6342711533278</v>
      </c>
      <c r="L31">
        <f t="shared" si="20"/>
        <v>389.66306223879644</v>
      </c>
      <c r="M31">
        <f t="shared" si="16"/>
        <v>9820.4409396352912</v>
      </c>
    </row>
    <row r="32" spans="1:14">
      <c r="A32">
        <f t="shared" si="17"/>
        <v>0.125</v>
      </c>
      <c r="B32">
        <v>1353.000668268764</v>
      </c>
      <c r="C32">
        <v>5419.5810602899719</v>
      </c>
      <c r="E32">
        <v>1905</v>
      </c>
      <c r="F32">
        <f t="shared" si="18"/>
        <v>3172.3868084604778</v>
      </c>
      <c r="G32">
        <f t="shared" si="19"/>
        <v>2348.2115620572386</v>
      </c>
      <c r="H32">
        <f t="shared" si="19"/>
        <v>1710.3143790213687</v>
      </c>
      <c r="I32">
        <f t="shared" si="19"/>
        <v>1123.1971321463316</v>
      </c>
      <c r="J32">
        <f t="shared" si="19"/>
        <v>575.22109502596038</v>
      </c>
      <c r="K32">
        <f t="shared" si="19"/>
        <v>300.6342711533278</v>
      </c>
      <c r="L32">
        <f t="shared" si="20"/>
        <v>389.66306223879644</v>
      </c>
      <c r="M32">
        <f t="shared" si="16"/>
        <v>9820.440939635293</v>
      </c>
    </row>
    <row r="33" spans="1:13">
      <c r="A33">
        <f t="shared" si="17"/>
        <v>0.15</v>
      </c>
      <c r="B33">
        <v>1473.9914327471786</v>
      </c>
      <c r="C33">
        <v>4307.4560686730738</v>
      </c>
      <c r="E33">
        <v>1906</v>
      </c>
      <c r="F33">
        <f t="shared" si="18"/>
        <v>3172.3868084604774</v>
      </c>
      <c r="G33">
        <f t="shared" si="19"/>
        <v>2348.2115620572386</v>
      </c>
      <c r="H33">
        <f t="shared" si="19"/>
        <v>1710.3143790213692</v>
      </c>
      <c r="I33">
        <f t="shared" si="19"/>
        <v>1123.1971321463313</v>
      </c>
      <c r="J33">
        <f t="shared" si="19"/>
        <v>575.22109502596049</v>
      </c>
      <c r="K33">
        <f t="shared" si="19"/>
        <v>300.63427115332775</v>
      </c>
      <c r="L33">
        <f t="shared" si="20"/>
        <v>389.66306223879644</v>
      </c>
      <c r="M33">
        <f t="shared" si="16"/>
        <v>9820.4409396352912</v>
      </c>
    </row>
    <row r="34" spans="1:13">
      <c r="A34">
        <f t="shared" si="17"/>
        <v>0.17499999999999999</v>
      </c>
      <c r="B34">
        <v>1570.4347584946968</v>
      </c>
      <c r="C34">
        <v>3443.5368880623846</v>
      </c>
      <c r="E34">
        <v>1907</v>
      </c>
      <c r="F34">
        <f t="shared" si="18"/>
        <v>3172.3868084604778</v>
      </c>
      <c r="G34">
        <f t="shared" si="19"/>
        <v>2348.2115620572381</v>
      </c>
      <c r="H34">
        <f t="shared" si="19"/>
        <v>1710.3143790213692</v>
      </c>
      <c r="I34">
        <f t="shared" si="19"/>
        <v>1123.1971321463316</v>
      </c>
      <c r="J34">
        <f t="shared" si="19"/>
        <v>575.22109502596038</v>
      </c>
      <c r="K34">
        <f t="shared" si="19"/>
        <v>300.6342711533278</v>
      </c>
      <c r="L34">
        <f t="shared" si="20"/>
        <v>389.66306223879644</v>
      </c>
      <c r="M34">
        <f t="shared" si="16"/>
        <v>9820.440939635293</v>
      </c>
    </row>
    <row r="35" spans="1:13">
      <c r="A35">
        <f t="shared" si="17"/>
        <v>0.19999999999999998</v>
      </c>
      <c r="B35">
        <v>1647.7120860014015</v>
      </c>
      <c r="C35">
        <v>2765.4480532879102</v>
      </c>
      <c r="E35">
        <v>1908</v>
      </c>
      <c r="F35">
        <f t="shared" si="18"/>
        <v>3172.3868084604774</v>
      </c>
      <c r="G35">
        <f t="shared" si="19"/>
        <v>2348.2115620572386</v>
      </c>
      <c r="H35">
        <f t="shared" si="19"/>
        <v>1710.3143790213687</v>
      </c>
      <c r="I35">
        <f t="shared" si="19"/>
        <v>1123.1971321463316</v>
      </c>
      <c r="J35">
        <f t="shared" si="19"/>
        <v>575.22109502596049</v>
      </c>
      <c r="K35">
        <f t="shared" si="19"/>
        <v>300.63427115332775</v>
      </c>
      <c r="L35">
        <f t="shared" si="20"/>
        <v>389.66306223879644</v>
      </c>
      <c r="M35">
        <f t="shared" si="16"/>
        <v>9820.4409396352912</v>
      </c>
    </row>
    <row r="36" spans="1:13">
      <c r="A36">
        <f t="shared" si="17"/>
        <v>0.22499999999999998</v>
      </c>
      <c r="B36">
        <v>1709.8789227133198</v>
      </c>
      <c r="C36">
        <v>2228.3655954637543</v>
      </c>
      <c r="E36">
        <v>1909</v>
      </c>
      <c r="F36">
        <f t="shared" si="18"/>
        <v>3172.3868084604778</v>
      </c>
      <c r="G36">
        <f t="shared" si="19"/>
        <v>2348.2115620572381</v>
      </c>
      <c r="H36">
        <f t="shared" si="19"/>
        <v>1710.3143790213692</v>
      </c>
      <c r="I36">
        <f t="shared" si="19"/>
        <v>1123.1971321463313</v>
      </c>
      <c r="J36">
        <f t="shared" si="19"/>
        <v>575.22109502596049</v>
      </c>
      <c r="K36">
        <f t="shared" si="19"/>
        <v>300.6342711533278</v>
      </c>
      <c r="L36">
        <f t="shared" si="20"/>
        <v>389.66306223879644</v>
      </c>
      <c r="M36">
        <f t="shared" si="16"/>
        <v>9820.4409396352912</v>
      </c>
    </row>
    <row r="37" spans="1:13">
      <c r="A37">
        <f t="shared" si="17"/>
        <v>0.24999999999999997</v>
      </c>
      <c r="B37">
        <v>1760.0301177176359</v>
      </c>
      <c r="C37">
        <v>1799.5310080781653</v>
      </c>
      <c r="E37">
        <v>1910</v>
      </c>
      <c r="F37">
        <f t="shared" si="18"/>
        <v>3172.3868084604778</v>
      </c>
      <c r="G37">
        <f t="shared" si="19"/>
        <v>2348.2115620572386</v>
      </c>
      <c r="H37">
        <f t="shared" si="19"/>
        <v>1710.3143790213687</v>
      </c>
      <c r="I37">
        <f t="shared" si="19"/>
        <v>1123.1971321463316</v>
      </c>
      <c r="J37">
        <f t="shared" si="19"/>
        <v>575.22109502596038</v>
      </c>
      <c r="K37">
        <f t="shared" si="19"/>
        <v>300.6342711533278</v>
      </c>
      <c r="L37">
        <f t="shared" si="20"/>
        <v>389.66306223879644</v>
      </c>
      <c r="M37">
        <f t="shared" si="16"/>
        <v>9820.440939635293</v>
      </c>
    </row>
    <row r="38" spans="1:13">
      <c r="A38">
        <f t="shared" si="17"/>
        <v>0.27499999999999997</v>
      </c>
      <c r="B38">
        <v>1800.5534367390185</v>
      </c>
      <c r="C38">
        <v>1454.6506434738612</v>
      </c>
      <c r="E38">
        <v>1911</v>
      </c>
      <c r="F38">
        <f t="shared" si="18"/>
        <v>3172.3868084604774</v>
      </c>
      <c r="G38">
        <f t="shared" ref="G38:K47" si="21">F37*EXP(-m-fe*F$4)</f>
        <v>2348.2115620572386</v>
      </c>
      <c r="H38">
        <f t="shared" si="21"/>
        <v>1710.3143790213692</v>
      </c>
      <c r="I38">
        <f t="shared" si="21"/>
        <v>1123.1971321463313</v>
      </c>
      <c r="J38">
        <f t="shared" si="21"/>
        <v>575.22109502596049</v>
      </c>
      <c r="K38">
        <f t="shared" si="21"/>
        <v>300.63427115332775</v>
      </c>
      <c r="L38">
        <f t="shared" si="20"/>
        <v>389.66306223879644</v>
      </c>
      <c r="M38">
        <f t="shared" si="16"/>
        <v>9820.4409396352912</v>
      </c>
    </row>
    <row r="39" spans="1:13">
      <c r="A39">
        <f t="shared" si="17"/>
        <v>0.3</v>
      </c>
      <c r="B39">
        <v>1833.3089965255731</v>
      </c>
      <c r="C39">
        <v>1175.4761190843574</v>
      </c>
      <c r="E39">
        <v>1912</v>
      </c>
      <c r="F39">
        <f t="shared" si="18"/>
        <v>3172.3868084604778</v>
      </c>
      <c r="G39">
        <f t="shared" si="21"/>
        <v>2348.2115620572381</v>
      </c>
      <c r="H39">
        <f t="shared" si="21"/>
        <v>1710.3143790213692</v>
      </c>
      <c r="I39">
        <f t="shared" si="21"/>
        <v>1123.1971321463316</v>
      </c>
      <c r="J39">
        <f t="shared" si="21"/>
        <v>575.22109502596038</v>
      </c>
      <c r="K39">
        <f t="shared" si="21"/>
        <v>300.6342711533278</v>
      </c>
      <c r="L39">
        <f t="shared" si="20"/>
        <v>389.66306223879644</v>
      </c>
      <c r="M39">
        <f t="shared" si="16"/>
        <v>9820.440939635293</v>
      </c>
    </row>
    <row r="40" spans="1:13">
      <c r="A40">
        <f t="shared" si="17"/>
        <v>0.32500000000000001</v>
      </c>
      <c r="B40">
        <v>1859.7583796963302</v>
      </c>
      <c r="C40">
        <v>948.14423878949935</v>
      </c>
      <c r="E40">
        <v>1913</v>
      </c>
      <c r="F40">
        <f t="shared" si="18"/>
        <v>3172.3868084604774</v>
      </c>
      <c r="G40">
        <f t="shared" si="21"/>
        <v>2348.2115620572386</v>
      </c>
      <c r="H40">
        <f t="shared" si="21"/>
        <v>1710.3143790213687</v>
      </c>
      <c r="I40">
        <f t="shared" si="21"/>
        <v>1123.1971321463316</v>
      </c>
      <c r="J40">
        <f t="shared" si="21"/>
        <v>575.22109502596049</v>
      </c>
      <c r="K40">
        <f t="shared" si="21"/>
        <v>300.63427115332775</v>
      </c>
      <c r="L40">
        <f t="shared" si="20"/>
        <v>389.66306223879644</v>
      </c>
      <c r="M40">
        <f t="shared" si="16"/>
        <v>9820.4409396352912</v>
      </c>
    </row>
    <row r="41" spans="1:13">
      <c r="A41">
        <f t="shared" si="17"/>
        <v>0.35000000000000003</v>
      </c>
      <c r="B41">
        <v>1881.0589202404294</v>
      </c>
      <c r="C41">
        <v>762.01691673349933</v>
      </c>
      <c r="E41">
        <v>1914</v>
      </c>
      <c r="F41">
        <f t="shared" si="18"/>
        <v>3172.3868084604778</v>
      </c>
      <c r="G41">
        <f t="shared" si="21"/>
        <v>2348.2115620572381</v>
      </c>
      <c r="H41">
        <f t="shared" si="21"/>
        <v>1710.3143790213692</v>
      </c>
      <c r="I41">
        <f t="shared" si="21"/>
        <v>1123.1971321463313</v>
      </c>
      <c r="J41">
        <f t="shared" si="21"/>
        <v>575.22109502596049</v>
      </c>
      <c r="K41">
        <f t="shared" si="21"/>
        <v>300.6342711533278</v>
      </c>
      <c r="L41">
        <f t="shared" si="20"/>
        <v>389.66306223879644</v>
      </c>
      <c r="M41">
        <f t="shared" si="16"/>
        <v>9820.4409396352912</v>
      </c>
    </row>
    <row r="42" spans="1:13">
      <c r="A42">
        <f t="shared" si="17"/>
        <v>0.37500000000000006</v>
      </c>
      <c r="B42">
        <v>1898.1334586638307</v>
      </c>
      <c r="C42">
        <v>608.8571910599461</v>
      </c>
      <c r="E42">
        <v>1915</v>
      </c>
      <c r="F42">
        <f t="shared" si="18"/>
        <v>3172.3868084604778</v>
      </c>
      <c r="G42">
        <f t="shared" si="21"/>
        <v>2348.2115620572386</v>
      </c>
      <c r="H42">
        <f t="shared" si="21"/>
        <v>1710.3143790213687</v>
      </c>
      <c r="I42">
        <f t="shared" si="21"/>
        <v>1123.1971321463316</v>
      </c>
      <c r="J42">
        <f t="shared" si="21"/>
        <v>575.22109502596038</v>
      </c>
      <c r="K42">
        <f t="shared" si="21"/>
        <v>300.6342711533278</v>
      </c>
      <c r="L42">
        <f t="shared" si="20"/>
        <v>389.66306223879644</v>
      </c>
      <c r="M42">
        <f t="shared" si="16"/>
        <v>9820.440939635293</v>
      </c>
    </row>
    <row r="43" spans="1:13">
      <c r="A43">
        <f t="shared" si="17"/>
        <v>0.40000000000000008</v>
      </c>
      <c r="B43">
        <v>1911.7225513061003</v>
      </c>
      <c r="C43">
        <v>482.23539754265585</v>
      </c>
      <c r="E43">
        <v>1916</v>
      </c>
      <c r="F43">
        <f t="shared" si="18"/>
        <v>3172.3868084604774</v>
      </c>
      <c r="G43">
        <f t="shared" si="21"/>
        <v>2348.2115620572386</v>
      </c>
      <c r="H43">
        <f t="shared" si="21"/>
        <v>1710.3143790213692</v>
      </c>
      <c r="I43">
        <f t="shared" si="21"/>
        <v>1123.1971321463313</v>
      </c>
      <c r="J43">
        <f t="shared" si="21"/>
        <v>575.22109502596049</v>
      </c>
      <c r="K43">
        <f t="shared" si="21"/>
        <v>300.63427115332775</v>
      </c>
      <c r="L43">
        <f t="shared" si="20"/>
        <v>389.66306223879644</v>
      </c>
      <c r="M43">
        <f t="shared" si="16"/>
        <v>9820.4409396352912</v>
      </c>
    </row>
    <row r="44" spans="1:13">
      <c r="A44">
        <f t="shared" si="17"/>
        <v>0.4250000000000001</v>
      </c>
      <c r="B44">
        <v>1922.4239553129028</v>
      </c>
      <c r="C44">
        <v>377.09561661362488</v>
      </c>
      <c r="E44">
        <v>1917</v>
      </c>
      <c r="F44">
        <f t="shared" si="18"/>
        <v>3172.3868084604778</v>
      </c>
      <c r="G44">
        <f t="shared" si="21"/>
        <v>2348.2115620572381</v>
      </c>
      <c r="H44">
        <f t="shared" si="21"/>
        <v>1710.3143790213692</v>
      </c>
      <c r="I44">
        <f t="shared" si="21"/>
        <v>1123.1971321463316</v>
      </c>
      <c r="J44">
        <f t="shared" si="21"/>
        <v>575.22109502596038</v>
      </c>
      <c r="K44">
        <f t="shared" si="21"/>
        <v>300.6342711533278</v>
      </c>
      <c r="L44">
        <f t="shared" si="20"/>
        <v>389.66306223879644</v>
      </c>
      <c r="M44">
        <f t="shared" si="16"/>
        <v>9820.440939635293</v>
      </c>
    </row>
    <row r="45" spans="1:13">
      <c r="A45">
        <f t="shared" si="17"/>
        <v>0.45000000000000012</v>
      </c>
      <c r="B45">
        <v>1930.7227710137254</v>
      </c>
      <c r="C45">
        <v>289.43541843880234</v>
      </c>
      <c r="E45">
        <v>1918</v>
      </c>
      <c r="F45">
        <f t="shared" si="18"/>
        <v>3172.3868084604774</v>
      </c>
      <c r="G45">
        <f t="shared" si="21"/>
        <v>2348.2115620572386</v>
      </c>
      <c r="H45">
        <f t="shared" si="21"/>
        <v>1710.3143790213687</v>
      </c>
      <c r="I45">
        <f t="shared" si="21"/>
        <v>1123.1971321463316</v>
      </c>
      <c r="J45">
        <f t="shared" si="21"/>
        <v>575.22109502596049</v>
      </c>
      <c r="K45">
        <f t="shared" si="21"/>
        <v>300.63427115332775</v>
      </c>
      <c r="L45">
        <f t="shared" si="20"/>
        <v>389.66306223879644</v>
      </c>
      <c r="M45">
        <f t="shared" si="16"/>
        <v>9820.4409396352912</v>
      </c>
    </row>
    <row r="46" spans="1:13">
      <c r="A46">
        <f t="shared" si="17"/>
        <v>0.47500000000000014</v>
      </c>
      <c r="B46">
        <v>1937.0146478999532</v>
      </c>
      <c r="C46">
        <v>216.06679269768404</v>
      </c>
      <c r="E46">
        <v>1919</v>
      </c>
      <c r="F46">
        <f t="shared" si="18"/>
        <v>3172.3868084604778</v>
      </c>
      <c r="G46">
        <f t="shared" si="21"/>
        <v>2348.2115620572381</v>
      </c>
      <c r="H46">
        <f t="shared" si="21"/>
        <v>1710.3143790213692</v>
      </c>
      <c r="I46">
        <f t="shared" si="21"/>
        <v>1123.1971321463313</v>
      </c>
      <c r="J46">
        <f t="shared" si="21"/>
        <v>575.22109502596049</v>
      </c>
      <c r="K46">
        <f t="shared" si="21"/>
        <v>300.6342711533278</v>
      </c>
      <c r="L46">
        <f t="shared" si="20"/>
        <v>389.66306223879644</v>
      </c>
      <c r="M46">
        <f t="shared" si="16"/>
        <v>9820.4409396352912</v>
      </c>
    </row>
    <row r="47" spans="1:13">
      <c r="A47">
        <f t="shared" si="17"/>
        <v>0.50000000000000011</v>
      </c>
      <c r="B47">
        <v>1941.6237885918556</v>
      </c>
      <c r="C47">
        <v>154.43597038283087</v>
      </c>
      <c r="E47">
        <v>1920</v>
      </c>
      <c r="F47">
        <f t="shared" si="18"/>
        <v>3172.3868084604778</v>
      </c>
      <c r="G47">
        <f t="shared" si="21"/>
        <v>2348.2115620572386</v>
      </c>
      <c r="H47">
        <f t="shared" si="21"/>
        <v>1710.3143790213687</v>
      </c>
      <c r="I47">
        <f t="shared" si="21"/>
        <v>1123.1971321463316</v>
      </c>
      <c r="J47">
        <f t="shared" si="21"/>
        <v>575.22109502596038</v>
      </c>
      <c r="K47">
        <f t="shared" si="21"/>
        <v>300.6342711533278</v>
      </c>
      <c r="L47">
        <f t="shared" si="20"/>
        <v>389.66306223879644</v>
      </c>
      <c r="M47">
        <f t="shared" si="16"/>
        <v>9820.440939635293</v>
      </c>
    </row>
    <row r="48" spans="1:13">
      <c r="A48">
        <f t="shared" si="17"/>
        <v>0.52500000000000013</v>
      </c>
      <c r="B48">
        <v>1944.8170157029019</v>
      </c>
      <c r="C48">
        <v>102.48644491161758</v>
      </c>
      <c r="E48">
        <v>1921</v>
      </c>
      <c r="F48">
        <f t="shared" si="18"/>
        <v>3172.3868084604774</v>
      </c>
      <c r="G48">
        <f t="shared" ref="G48:K57" si="22">F47*EXP(-m-fe*F$4)</f>
        <v>2348.2115620572386</v>
      </c>
      <c r="H48">
        <f t="shared" si="22"/>
        <v>1710.3143790213692</v>
      </c>
      <c r="I48">
        <f t="shared" si="22"/>
        <v>1123.1971321463313</v>
      </c>
      <c r="J48">
        <f t="shared" si="22"/>
        <v>575.22109502596049</v>
      </c>
      <c r="K48">
        <f t="shared" si="22"/>
        <v>300.63427115332775</v>
      </c>
      <c r="L48">
        <f t="shared" si="20"/>
        <v>389.66306223879644</v>
      </c>
      <c r="M48">
        <f t="shared" si="16"/>
        <v>9820.4409396352912</v>
      </c>
    </row>
    <row r="49" spans="1:13">
      <c r="A49">
        <f t="shared" si="17"/>
        <v>0.55000000000000016</v>
      </c>
      <c r="B49">
        <v>1946.8148340053667</v>
      </c>
      <c r="C49">
        <v>58.55400447716795</v>
      </c>
      <c r="E49">
        <v>1922</v>
      </c>
      <c r="F49">
        <f t="shared" si="18"/>
        <v>3172.3868084604778</v>
      </c>
      <c r="G49">
        <f t="shared" si="22"/>
        <v>2348.2115620572381</v>
      </c>
      <c r="H49">
        <f t="shared" si="22"/>
        <v>1710.3143790213692</v>
      </c>
      <c r="I49">
        <f t="shared" si="22"/>
        <v>1123.1971321463316</v>
      </c>
      <c r="J49">
        <f t="shared" si="22"/>
        <v>575.22109502596038</v>
      </c>
      <c r="K49">
        <f t="shared" si="22"/>
        <v>300.6342711533278</v>
      </c>
      <c r="L49">
        <f t="shared" si="20"/>
        <v>389.66306223879644</v>
      </c>
      <c r="M49">
        <f t="shared" si="16"/>
        <v>9820.440939635293</v>
      </c>
    </row>
    <row r="50" spans="1:13">
      <c r="A50">
        <f t="shared" si="17"/>
        <v>0.57500000000000018</v>
      </c>
      <c r="B50">
        <v>1947.8001819185683</v>
      </c>
      <c r="C50">
        <v>21.285705963016539</v>
      </c>
      <c r="E50">
        <v>1923</v>
      </c>
      <c r="F50">
        <f t="shared" si="18"/>
        <v>3172.3868084604774</v>
      </c>
      <c r="G50">
        <f t="shared" si="22"/>
        <v>2348.2115620572386</v>
      </c>
      <c r="H50">
        <f t="shared" si="22"/>
        <v>1710.3143790213687</v>
      </c>
      <c r="I50">
        <f t="shared" si="22"/>
        <v>1123.1971321463316</v>
      </c>
      <c r="J50">
        <f t="shared" si="22"/>
        <v>575.22109502596049</v>
      </c>
      <c r="K50">
        <f t="shared" si="22"/>
        <v>300.63427115332775</v>
      </c>
      <c r="L50">
        <f t="shared" si="20"/>
        <v>389.66306223879644</v>
      </c>
      <c r="M50">
        <f t="shared" si="16"/>
        <v>9820.4409396352912</v>
      </c>
    </row>
    <row r="51" spans="1:13">
      <c r="A51">
        <f t="shared" si="17"/>
        <v>0.6000000000000002</v>
      </c>
      <c r="B51">
        <v>1947.925393521175</v>
      </c>
      <c r="C51">
        <v>-10.423092236585717</v>
      </c>
      <c r="E51">
        <v>1924</v>
      </c>
      <c r="F51">
        <f t="shared" si="18"/>
        <v>3172.3868084604778</v>
      </c>
      <c r="G51">
        <f t="shared" si="22"/>
        <v>2348.2115620572381</v>
      </c>
      <c r="H51">
        <f t="shared" si="22"/>
        <v>1710.3143790213692</v>
      </c>
      <c r="I51">
        <f t="shared" si="22"/>
        <v>1123.1971321463313</v>
      </c>
      <c r="J51">
        <f t="shared" si="22"/>
        <v>575.22109502596049</v>
      </c>
      <c r="K51">
        <f t="shared" si="22"/>
        <v>300.6342711533278</v>
      </c>
      <c r="L51">
        <f t="shared" si="20"/>
        <v>389.66306223879644</v>
      </c>
      <c r="M51">
        <f t="shared" si="16"/>
        <v>9820.4409396352912</v>
      </c>
    </row>
    <row r="52" spans="1:13">
      <c r="A52">
        <f t="shared" si="17"/>
        <v>0.62500000000000022</v>
      </c>
      <c r="B52">
        <v>1947.3177657134981</v>
      </c>
      <c r="C52">
        <v>-37.477968886786925</v>
      </c>
      <c r="E52">
        <v>1925</v>
      </c>
      <c r="F52">
        <f t="shared" si="18"/>
        <v>3172.3868084604778</v>
      </c>
      <c r="G52">
        <f t="shared" si="22"/>
        <v>2348.2115620572386</v>
      </c>
      <c r="H52">
        <f t="shared" si="22"/>
        <v>1710.3143790213687</v>
      </c>
      <c r="I52">
        <f t="shared" si="22"/>
        <v>1123.1971321463316</v>
      </c>
      <c r="J52">
        <f t="shared" si="22"/>
        <v>575.22109502596038</v>
      </c>
      <c r="K52">
        <f t="shared" si="22"/>
        <v>300.6342711533278</v>
      </c>
      <c r="L52">
        <f t="shared" si="20"/>
        <v>389.66306223879644</v>
      </c>
      <c r="M52">
        <f t="shared" si="16"/>
        <v>9820.440939635293</v>
      </c>
    </row>
    <row r="53" spans="1:13">
      <c r="A53">
        <f t="shared" si="17"/>
        <v>0.65000000000000024</v>
      </c>
      <c r="B53">
        <v>1946.0840315761773</v>
      </c>
      <c r="C53">
        <v>-60.624166539448993</v>
      </c>
      <c r="E53">
        <v>1926</v>
      </c>
      <c r="F53">
        <f t="shared" si="18"/>
        <v>3172.3868084604774</v>
      </c>
      <c r="G53">
        <f t="shared" si="22"/>
        <v>2348.2115620572386</v>
      </c>
      <c r="H53">
        <f t="shared" si="22"/>
        <v>1710.3143790213692</v>
      </c>
      <c r="I53">
        <f t="shared" si="22"/>
        <v>1123.1971321463313</v>
      </c>
      <c r="J53">
        <f t="shared" si="22"/>
        <v>575.22109502596049</v>
      </c>
      <c r="K53">
        <f t="shared" si="22"/>
        <v>300.63427115332775</v>
      </c>
      <c r="L53">
        <f t="shared" si="20"/>
        <v>389.66306223879644</v>
      </c>
      <c r="M53">
        <f t="shared" si="16"/>
        <v>9820.4409396352912</v>
      </c>
    </row>
    <row r="54" spans="1:13">
      <c r="A54">
        <f t="shared" si="17"/>
        <v>0.67500000000000027</v>
      </c>
      <c r="B54">
        <v>1944.313971185888</v>
      </c>
      <c r="C54">
        <v>-80.477215056410159</v>
      </c>
      <c r="E54">
        <v>1927</v>
      </c>
      <c r="F54">
        <f t="shared" si="18"/>
        <v>3172.3868084604778</v>
      </c>
      <c r="G54">
        <f t="shared" si="22"/>
        <v>2348.2115620572381</v>
      </c>
      <c r="H54">
        <f t="shared" si="22"/>
        <v>1710.3143790213692</v>
      </c>
      <c r="I54">
        <f t="shared" si="22"/>
        <v>1123.1971321463316</v>
      </c>
      <c r="J54">
        <f t="shared" si="22"/>
        <v>575.22109502596038</v>
      </c>
      <c r="K54">
        <f t="shared" si="22"/>
        <v>300.6342711533278</v>
      </c>
      <c r="L54">
        <f t="shared" si="20"/>
        <v>389.66306223879644</v>
      </c>
      <c r="M54">
        <f t="shared" si="16"/>
        <v>9820.440939635293</v>
      </c>
    </row>
    <row r="55" spans="1:13">
      <c r="A55">
        <f t="shared" si="17"/>
        <v>0.70000000000000029</v>
      </c>
      <c r="B55">
        <v>1942.0833386900886</v>
      </c>
      <c r="C55">
        <v>-97.547270045884034</v>
      </c>
      <c r="E55">
        <v>1928</v>
      </c>
      <c r="F55">
        <f t="shared" si="18"/>
        <v>3172.3868084604774</v>
      </c>
      <c r="G55">
        <f t="shared" si="22"/>
        <v>2348.2115620572386</v>
      </c>
      <c r="H55">
        <f t="shared" si="22"/>
        <v>1710.3143790213687</v>
      </c>
      <c r="I55">
        <f t="shared" si="22"/>
        <v>1123.1971321463316</v>
      </c>
      <c r="J55">
        <f t="shared" si="22"/>
        <v>575.22109502596049</v>
      </c>
      <c r="K55">
        <f t="shared" si="22"/>
        <v>300.63427115332775</v>
      </c>
      <c r="L55">
        <f t="shared" si="20"/>
        <v>389.66306223879644</v>
      </c>
      <c r="M55">
        <f t="shared" si="16"/>
        <v>9820.4409396352912</v>
      </c>
    </row>
    <row r="56" spans="1:13">
      <c r="A56">
        <f t="shared" si="17"/>
        <v>0.72500000000000031</v>
      </c>
      <c r="B56">
        <v>1939.4562447162366</v>
      </c>
      <c r="C56">
        <v>-112.25854804393282</v>
      </c>
      <c r="E56">
        <v>1929</v>
      </c>
      <c r="F56">
        <f t="shared" si="18"/>
        <v>3172.3868084604778</v>
      </c>
      <c r="G56">
        <f t="shared" si="22"/>
        <v>2348.2115620572381</v>
      </c>
      <c r="H56">
        <f t="shared" si="22"/>
        <v>1710.3143790213692</v>
      </c>
      <c r="I56">
        <f t="shared" si="22"/>
        <v>1123.1971321463313</v>
      </c>
      <c r="J56">
        <f t="shared" si="22"/>
        <v>575.22109502596049</v>
      </c>
      <c r="K56">
        <f t="shared" si="22"/>
        <v>300.6342711533278</v>
      </c>
      <c r="L56">
        <f t="shared" si="20"/>
        <v>389.66306223879644</v>
      </c>
      <c r="M56">
        <f t="shared" si="16"/>
        <v>9820.4409396352912</v>
      </c>
    </row>
    <row r="57" spans="1:13">
      <c r="A57">
        <f t="shared" si="17"/>
        <v>0.75000000000000033</v>
      </c>
      <c r="B57">
        <v>1936.48710289924</v>
      </c>
      <c r="C57">
        <v>-124.96491570215477</v>
      </c>
      <c r="E57">
        <v>1930</v>
      </c>
      <c r="F57">
        <f t="shared" si="18"/>
        <v>3172.3868084604778</v>
      </c>
      <c r="G57">
        <f t="shared" si="22"/>
        <v>2348.2115620572386</v>
      </c>
      <c r="H57">
        <f t="shared" si="22"/>
        <v>1710.3143790213687</v>
      </c>
      <c r="I57">
        <f t="shared" si="22"/>
        <v>1123.1971321463316</v>
      </c>
      <c r="J57">
        <f t="shared" si="22"/>
        <v>575.22109502596038</v>
      </c>
      <c r="K57">
        <f t="shared" si="22"/>
        <v>300.6342711533278</v>
      </c>
      <c r="L57">
        <f t="shared" si="20"/>
        <v>389.66306223879644</v>
      </c>
      <c r="M57">
        <f t="shared" si="16"/>
        <v>9820.440939635293</v>
      </c>
    </row>
    <row r="58" spans="1:13">
      <c r="A58">
        <f t="shared" si="17"/>
        <v>0.77500000000000036</v>
      </c>
      <c r="B58">
        <v>1933.2222260649075</v>
      </c>
      <c r="C58">
        <v>-135.96244691115902</v>
      </c>
      <c r="E58">
        <v>1931</v>
      </c>
      <c r="F58">
        <f t="shared" si="18"/>
        <v>3172.3868084604774</v>
      </c>
      <c r="G58">
        <f t="shared" ref="G58:K67" si="23">F57*EXP(-m-fe*F$4)</f>
        <v>2348.2115620572386</v>
      </c>
      <c r="H58">
        <f t="shared" si="23"/>
        <v>1710.3143790213692</v>
      </c>
      <c r="I58">
        <f t="shared" si="23"/>
        <v>1123.1971321463313</v>
      </c>
      <c r="J58">
        <f t="shared" si="23"/>
        <v>575.22109502596049</v>
      </c>
      <c r="K58">
        <f t="shared" si="23"/>
        <v>300.63427115332775</v>
      </c>
      <c r="L58">
        <f t="shared" si="20"/>
        <v>389.66306223879644</v>
      </c>
      <c r="M58">
        <f t="shared" si="16"/>
        <v>9820.4409396352912</v>
      </c>
    </row>
    <row r="59" spans="1:13">
      <c r="A59">
        <f t="shared" si="17"/>
        <v>0.80000000000000038</v>
      </c>
      <c r="B59">
        <v>1929.7011396614548</v>
      </c>
      <c r="C59">
        <v>-145.49957808558389</v>
      </c>
      <c r="E59">
        <v>1932</v>
      </c>
      <c r="F59">
        <f t="shared" si="18"/>
        <v>3172.3868084604778</v>
      </c>
      <c r="G59">
        <f t="shared" si="23"/>
        <v>2348.2115620572381</v>
      </c>
      <c r="H59">
        <f t="shared" si="23"/>
        <v>1710.3143790213692</v>
      </c>
      <c r="I59">
        <f t="shared" si="23"/>
        <v>1123.1971321463316</v>
      </c>
      <c r="J59">
        <f t="shared" si="23"/>
        <v>575.22109502596038</v>
      </c>
      <c r="K59">
        <f t="shared" si="23"/>
        <v>300.6342711533278</v>
      </c>
      <c r="L59">
        <f t="shared" si="20"/>
        <v>389.66306223879644</v>
      </c>
      <c r="M59">
        <f t="shared" ref="M59:M90" si="24">SUMPRODUCT(F59:L59,EXP(-zf*(m+fe*va)),fa)</f>
        <v>9820.440939635293</v>
      </c>
    </row>
    <row r="60" spans="1:13">
      <c r="A60">
        <f t="shared" si="17"/>
        <v>0.8250000000000004</v>
      </c>
      <c r="B60">
        <v>1925.9576660991445</v>
      </c>
      <c r="C60">
        <v>-153.78535224224987</v>
      </c>
      <c r="E60">
        <v>1933</v>
      </c>
      <c r="F60">
        <f t="shared" ref="F60:F91" si="25">so*M59/(1+beta*M59)</f>
        <v>3172.3868084604774</v>
      </c>
      <c r="G60">
        <f t="shared" si="23"/>
        <v>2348.2115620572386</v>
      </c>
      <c r="H60">
        <f t="shared" si="23"/>
        <v>1710.3143790213687</v>
      </c>
      <c r="I60">
        <f t="shared" si="23"/>
        <v>1123.1971321463316</v>
      </c>
      <c r="J60">
        <f t="shared" si="23"/>
        <v>575.22109502596049</v>
      </c>
      <c r="K60">
        <f t="shared" si="23"/>
        <v>300.63427115332775</v>
      </c>
      <c r="L60">
        <f t="shared" ref="L60:L91" si="26">K59*EXP(-m-fe*K$4)+L59*EXP(-m-fe*va)</f>
        <v>389.66306223879644</v>
      </c>
      <c r="M60">
        <f t="shared" si="24"/>
        <v>9820.4409396352912</v>
      </c>
    </row>
    <row r="61" spans="1:13">
      <c r="A61">
        <f t="shared" si="17"/>
        <v>0.85000000000000042</v>
      </c>
      <c r="B61">
        <v>1922.0208227854414</v>
      </c>
      <c r="C61">
        <v>-160.9961357775752</v>
      </c>
      <c r="E61">
        <v>1934</v>
      </c>
      <c r="F61">
        <f t="shared" si="25"/>
        <v>3172.3868084604778</v>
      </c>
      <c r="G61">
        <f t="shared" si="23"/>
        <v>2348.2115620572381</v>
      </c>
      <c r="H61">
        <f t="shared" si="23"/>
        <v>1710.3143790213692</v>
      </c>
      <c r="I61">
        <f t="shared" si="23"/>
        <v>1123.1971321463313</v>
      </c>
      <c r="J61">
        <f t="shared" si="23"/>
        <v>575.22109502596049</v>
      </c>
      <c r="K61">
        <f t="shared" si="23"/>
        <v>300.6342711533278</v>
      </c>
      <c r="L61">
        <f t="shared" si="26"/>
        <v>389.66306223879644</v>
      </c>
      <c r="M61">
        <f t="shared" si="24"/>
        <v>9820.4409396352912</v>
      </c>
    </row>
    <row r="62" spans="1:13">
      <c r="A62">
        <f t="shared" si="17"/>
        <v>0.87500000000000044</v>
      </c>
      <c r="B62">
        <v>1917.9155681155617</v>
      </c>
      <c r="C62">
        <v>-167.28110978589268</v>
      </c>
      <c r="E62">
        <v>1935</v>
      </c>
      <c r="F62">
        <f t="shared" si="25"/>
        <v>3172.3868084604778</v>
      </c>
      <c r="G62">
        <f t="shared" si="23"/>
        <v>2348.2115620572386</v>
      </c>
      <c r="H62">
        <f t="shared" si="23"/>
        <v>1710.3143790213687</v>
      </c>
      <c r="I62">
        <f t="shared" si="23"/>
        <v>1123.1971321463316</v>
      </c>
      <c r="J62">
        <f t="shared" si="23"/>
        <v>575.22109502596038</v>
      </c>
      <c r="K62">
        <f t="shared" si="23"/>
        <v>300.6342711533278</v>
      </c>
      <c r="L62">
        <f t="shared" si="26"/>
        <v>389.66306223879644</v>
      </c>
      <c r="M62">
        <f t="shared" si="24"/>
        <v>9820.440939635293</v>
      </c>
    </row>
    <row r="63" spans="1:13">
      <c r="E63">
        <v>1936</v>
      </c>
      <c r="F63">
        <f t="shared" si="25"/>
        <v>3172.3868084604774</v>
      </c>
      <c r="G63">
        <f t="shared" si="23"/>
        <v>2348.2115620572386</v>
      </c>
      <c r="H63">
        <f t="shared" si="23"/>
        <v>1710.3143790213692</v>
      </c>
      <c r="I63">
        <f t="shared" si="23"/>
        <v>1123.1971321463313</v>
      </c>
      <c r="J63">
        <f t="shared" si="23"/>
        <v>575.22109502596049</v>
      </c>
      <c r="K63">
        <f t="shared" si="23"/>
        <v>300.63427115332775</v>
      </c>
      <c r="L63">
        <f t="shared" si="26"/>
        <v>389.66306223879644</v>
      </c>
      <c r="M63">
        <f t="shared" si="24"/>
        <v>9820.4409396352912</v>
      </c>
    </row>
    <row r="64" spans="1:13">
      <c r="E64">
        <v>1937</v>
      </c>
      <c r="F64">
        <f t="shared" si="25"/>
        <v>3172.3868084604778</v>
      </c>
      <c r="G64">
        <f t="shared" si="23"/>
        <v>2348.2115620572381</v>
      </c>
      <c r="H64">
        <f t="shared" si="23"/>
        <v>1710.3143790213692</v>
      </c>
      <c r="I64">
        <f t="shared" si="23"/>
        <v>1123.1971321463316</v>
      </c>
      <c r="J64">
        <f t="shared" si="23"/>
        <v>575.22109502596038</v>
      </c>
      <c r="K64">
        <f t="shared" si="23"/>
        <v>300.6342711533278</v>
      </c>
      <c r="L64">
        <f t="shared" si="26"/>
        <v>389.66306223879644</v>
      </c>
      <c r="M64">
        <f t="shared" si="24"/>
        <v>9820.440939635293</v>
      </c>
    </row>
    <row r="65" spans="5:13">
      <c r="E65">
        <v>1938</v>
      </c>
      <c r="F65">
        <f t="shared" si="25"/>
        <v>3172.3868084604774</v>
      </c>
      <c r="G65">
        <f t="shared" si="23"/>
        <v>2348.2115620572386</v>
      </c>
      <c r="H65">
        <f t="shared" si="23"/>
        <v>1710.3143790213687</v>
      </c>
      <c r="I65">
        <f t="shared" si="23"/>
        <v>1123.1971321463316</v>
      </c>
      <c r="J65">
        <f t="shared" si="23"/>
        <v>575.22109502596049</v>
      </c>
      <c r="K65">
        <f t="shared" si="23"/>
        <v>300.63427115332775</v>
      </c>
      <c r="L65">
        <f t="shared" si="26"/>
        <v>389.66306223879644</v>
      </c>
      <c r="M65">
        <f t="shared" si="24"/>
        <v>9820.4409396352912</v>
      </c>
    </row>
    <row r="66" spans="5:13">
      <c r="E66">
        <v>1939</v>
      </c>
      <c r="F66">
        <f t="shared" si="25"/>
        <v>3172.3868084604778</v>
      </c>
      <c r="G66">
        <f t="shared" si="23"/>
        <v>2348.2115620572381</v>
      </c>
      <c r="H66">
        <f t="shared" si="23"/>
        <v>1710.3143790213692</v>
      </c>
      <c r="I66">
        <f t="shared" si="23"/>
        <v>1123.1971321463313</v>
      </c>
      <c r="J66">
        <f t="shared" si="23"/>
        <v>575.22109502596049</v>
      </c>
      <c r="K66">
        <f t="shared" si="23"/>
        <v>300.6342711533278</v>
      </c>
      <c r="L66">
        <f t="shared" si="26"/>
        <v>389.66306223879644</v>
      </c>
      <c r="M66">
        <f t="shared" si="24"/>
        <v>9820.4409396352912</v>
      </c>
    </row>
    <row r="67" spans="5:13">
      <c r="E67">
        <v>1940</v>
      </c>
      <c r="F67">
        <f t="shared" si="25"/>
        <v>3172.3868084604778</v>
      </c>
      <c r="G67">
        <f t="shared" si="23"/>
        <v>2348.2115620572386</v>
      </c>
      <c r="H67">
        <f t="shared" si="23"/>
        <v>1710.3143790213687</v>
      </c>
      <c r="I67">
        <f t="shared" si="23"/>
        <v>1123.1971321463316</v>
      </c>
      <c r="J67">
        <f t="shared" si="23"/>
        <v>575.22109502596038</v>
      </c>
      <c r="K67">
        <f t="shared" si="23"/>
        <v>300.6342711533278</v>
      </c>
      <c r="L67">
        <f t="shared" si="26"/>
        <v>389.66306223879644</v>
      </c>
      <c r="M67">
        <f t="shared" si="24"/>
        <v>9820.440939635293</v>
      </c>
    </row>
    <row r="68" spans="5:13">
      <c r="E68">
        <v>1941</v>
      </c>
      <c r="F68">
        <f t="shared" si="25"/>
        <v>3172.3868084604774</v>
      </c>
      <c r="G68">
        <f t="shared" ref="G68:K77" si="27">F67*EXP(-m-fe*F$4)</f>
        <v>2348.2115620572386</v>
      </c>
      <c r="H68">
        <f t="shared" si="27"/>
        <v>1710.3143790213692</v>
      </c>
      <c r="I68">
        <f t="shared" si="27"/>
        <v>1123.1971321463313</v>
      </c>
      <c r="J68">
        <f t="shared" si="27"/>
        <v>575.22109502596049</v>
      </c>
      <c r="K68">
        <f t="shared" si="27"/>
        <v>300.63427115332775</v>
      </c>
      <c r="L68">
        <f t="shared" si="26"/>
        <v>389.66306223879644</v>
      </c>
      <c r="M68">
        <f t="shared" si="24"/>
        <v>9820.4409396352912</v>
      </c>
    </row>
    <row r="69" spans="5:13">
      <c r="E69">
        <v>1942</v>
      </c>
      <c r="F69">
        <f t="shared" si="25"/>
        <v>3172.3868084604778</v>
      </c>
      <c r="G69">
        <f t="shared" si="27"/>
        <v>2348.2115620572381</v>
      </c>
      <c r="H69">
        <f t="shared" si="27"/>
        <v>1710.3143790213692</v>
      </c>
      <c r="I69">
        <f t="shared" si="27"/>
        <v>1123.1971321463316</v>
      </c>
      <c r="J69">
        <f t="shared" si="27"/>
        <v>575.22109502596038</v>
      </c>
      <c r="K69">
        <f t="shared" si="27"/>
        <v>300.6342711533278</v>
      </c>
      <c r="L69">
        <f t="shared" si="26"/>
        <v>389.66306223879644</v>
      </c>
      <c r="M69">
        <f t="shared" si="24"/>
        <v>9820.440939635293</v>
      </c>
    </row>
    <row r="70" spans="5:13">
      <c r="E70">
        <v>1943</v>
      </c>
      <c r="F70">
        <f t="shared" si="25"/>
        <v>3172.3868084604774</v>
      </c>
      <c r="G70">
        <f t="shared" si="27"/>
        <v>2348.2115620572386</v>
      </c>
      <c r="H70">
        <f t="shared" si="27"/>
        <v>1710.3143790213687</v>
      </c>
      <c r="I70">
        <f t="shared" si="27"/>
        <v>1123.1971321463316</v>
      </c>
      <c r="J70">
        <f t="shared" si="27"/>
        <v>575.22109502596049</v>
      </c>
      <c r="K70">
        <f t="shared" si="27"/>
        <v>300.63427115332775</v>
      </c>
      <c r="L70">
        <f t="shared" si="26"/>
        <v>389.66306223879644</v>
      </c>
      <c r="M70">
        <f t="shared" si="24"/>
        <v>9820.4409396352912</v>
      </c>
    </row>
    <row r="71" spans="5:13">
      <c r="E71">
        <v>1944</v>
      </c>
      <c r="F71">
        <f t="shared" si="25"/>
        <v>3172.3868084604778</v>
      </c>
      <c r="G71">
        <f t="shared" si="27"/>
        <v>2348.2115620572381</v>
      </c>
      <c r="H71">
        <f t="shared" si="27"/>
        <v>1710.3143790213692</v>
      </c>
      <c r="I71">
        <f t="shared" si="27"/>
        <v>1123.1971321463313</v>
      </c>
      <c r="J71">
        <f t="shared" si="27"/>
        <v>575.22109502596049</v>
      </c>
      <c r="K71">
        <f t="shared" si="27"/>
        <v>300.6342711533278</v>
      </c>
      <c r="L71">
        <f t="shared" si="26"/>
        <v>389.66306223879644</v>
      </c>
      <c r="M71">
        <f t="shared" si="24"/>
        <v>9820.4409396352912</v>
      </c>
    </row>
    <row r="72" spans="5:13">
      <c r="E72">
        <v>1945</v>
      </c>
      <c r="F72">
        <f t="shared" si="25"/>
        <v>3172.3868084604778</v>
      </c>
      <c r="G72">
        <f t="shared" si="27"/>
        <v>2348.2115620572386</v>
      </c>
      <c r="H72">
        <f t="shared" si="27"/>
        <v>1710.3143790213687</v>
      </c>
      <c r="I72">
        <f t="shared" si="27"/>
        <v>1123.1971321463316</v>
      </c>
      <c r="J72">
        <f t="shared" si="27"/>
        <v>575.22109502596038</v>
      </c>
      <c r="K72">
        <f t="shared" si="27"/>
        <v>300.6342711533278</v>
      </c>
      <c r="L72">
        <f t="shared" si="26"/>
        <v>389.66306223879644</v>
      </c>
      <c r="M72">
        <f t="shared" si="24"/>
        <v>9820.440939635293</v>
      </c>
    </row>
    <row r="73" spans="5:13">
      <c r="E73">
        <v>1946</v>
      </c>
      <c r="F73">
        <f t="shared" si="25"/>
        <v>3172.3868084604774</v>
      </c>
      <c r="G73">
        <f t="shared" si="27"/>
        <v>2348.2115620572386</v>
      </c>
      <c r="H73">
        <f t="shared" si="27"/>
        <v>1710.3143790213692</v>
      </c>
      <c r="I73">
        <f t="shared" si="27"/>
        <v>1123.1971321463313</v>
      </c>
      <c r="J73">
        <f t="shared" si="27"/>
        <v>575.22109502596049</v>
      </c>
      <c r="K73">
        <f t="shared" si="27"/>
        <v>300.63427115332775</v>
      </c>
      <c r="L73">
        <f t="shared" si="26"/>
        <v>389.66306223879644</v>
      </c>
      <c r="M73">
        <f t="shared" si="24"/>
        <v>9820.4409396352912</v>
      </c>
    </row>
    <row r="74" spans="5:13">
      <c r="E74">
        <v>1947</v>
      </c>
      <c r="F74">
        <f t="shared" si="25"/>
        <v>3172.3868084604778</v>
      </c>
      <c r="G74">
        <f t="shared" si="27"/>
        <v>2348.2115620572381</v>
      </c>
      <c r="H74">
        <f t="shared" si="27"/>
        <v>1710.3143790213692</v>
      </c>
      <c r="I74">
        <f t="shared" si="27"/>
        <v>1123.1971321463316</v>
      </c>
      <c r="J74">
        <f t="shared" si="27"/>
        <v>575.22109502596038</v>
      </c>
      <c r="K74">
        <f t="shared" si="27"/>
        <v>300.6342711533278</v>
      </c>
      <c r="L74">
        <f t="shared" si="26"/>
        <v>389.66306223879644</v>
      </c>
      <c r="M74">
        <f t="shared" si="24"/>
        <v>9820.440939635293</v>
      </c>
    </row>
    <row r="75" spans="5:13">
      <c r="E75">
        <v>1948</v>
      </c>
      <c r="F75">
        <f t="shared" si="25"/>
        <v>3172.3868084604774</v>
      </c>
      <c r="G75">
        <f t="shared" si="27"/>
        <v>2348.2115620572386</v>
      </c>
      <c r="H75">
        <f t="shared" si="27"/>
        <v>1710.3143790213687</v>
      </c>
      <c r="I75">
        <f t="shared" si="27"/>
        <v>1123.1971321463316</v>
      </c>
      <c r="J75">
        <f t="shared" si="27"/>
        <v>575.22109502596049</v>
      </c>
      <c r="K75">
        <f t="shared" si="27"/>
        <v>300.63427115332775</v>
      </c>
      <c r="L75">
        <f t="shared" si="26"/>
        <v>389.66306223879644</v>
      </c>
      <c r="M75">
        <f t="shared" si="24"/>
        <v>9820.4409396352912</v>
      </c>
    </row>
    <row r="76" spans="5:13">
      <c r="E76">
        <v>1949</v>
      </c>
      <c r="F76">
        <f t="shared" si="25"/>
        <v>3172.3868084604778</v>
      </c>
      <c r="G76">
        <f t="shared" si="27"/>
        <v>2348.2115620572381</v>
      </c>
      <c r="H76">
        <f t="shared" si="27"/>
        <v>1710.3143790213692</v>
      </c>
      <c r="I76">
        <f t="shared" si="27"/>
        <v>1123.1971321463313</v>
      </c>
      <c r="J76">
        <f t="shared" si="27"/>
        <v>575.22109502596049</v>
      </c>
      <c r="K76">
        <f t="shared" si="27"/>
        <v>300.6342711533278</v>
      </c>
      <c r="L76">
        <f t="shared" si="26"/>
        <v>389.66306223879644</v>
      </c>
      <c r="M76">
        <f t="shared" si="24"/>
        <v>9820.4409396352912</v>
      </c>
    </row>
    <row r="77" spans="5:13">
      <c r="E77">
        <v>1950</v>
      </c>
      <c r="F77">
        <f t="shared" si="25"/>
        <v>3172.3868084604778</v>
      </c>
      <c r="G77">
        <f t="shared" si="27"/>
        <v>2348.2115620572386</v>
      </c>
      <c r="H77">
        <f t="shared" si="27"/>
        <v>1710.3143790213687</v>
      </c>
      <c r="I77">
        <f t="shared" si="27"/>
        <v>1123.1971321463316</v>
      </c>
      <c r="J77">
        <f t="shared" si="27"/>
        <v>575.22109502596038</v>
      </c>
      <c r="K77">
        <f t="shared" si="27"/>
        <v>300.6342711533278</v>
      </c>
      <c r="L77">
        <f t="shared" si="26"/>
        <v>389.66306223879644</v>
      </c>
      <c r="M77">
        <f t="shared" si="24"/>
        <v>9820.440939635293</v>
      </c>
    </row>
    <row r="78" spans="5:13">
      <c r="E78">
        <v>1951</v>
      </c>
      <c r="F78">
        <f t="shared" si="25"/>
        <v>3172.3868084604774</v>
      </c>
      <c r="G78">
        <f t="shared" ref="G78:K87" si="28">F77*EXP(-m-fe*F$4)</f>
        <v>2348.2115620572386</v>
      </c>
      <c r="H78">
        <f t="shared" si="28"/>
        <v>1710.3143790213692</v>
      </c>
      <c r="I78">
        <f t="shared" si="28"/>
        <v>1123.1971321463313</v>
      </c>
      <c r="J78">
        <f t="shared" si="28"/>
        <v>575.22109502596049</v>
      </c>
      <c r="K78">
        <f t="shared" si="28"/>
        <v>300.63427115332775</v>
      </c>
      <c r="L78">
        <f t="shared" si="26"/>
        <v>389.66306223879644</v>
      </c>
      <c r="M78">
        <f t="shared" si="24"/>
        <v>9820.4409396352912</v>
      </c>
    </row>
    <row r="79" spans="5:13">
      <c r="E79">
        <v>1952</v>
      </c>
      <c r="F79">
        <f t="shared" si="25"/>
        <v>3172.3868084604778</v>
      </c>
      <c r="G79">
        <f t="shared" si="28"/>
        <v>2348.2115620572381</v>
      </c>
      <c r="H79">
        <f t="shared" si="28"/>
        <v>1710.3143790213692</v>
      </c>
      <c r="I79">
        <f t="shared" si="28"/>
        <v>1123.1971321463316</v>
      </c>
      <c r="J79">
        <f t="shared" si="28"/>
        <v>575.22109502596038</v>
      </c>
      <c r="K79">
        <f t="shared" si="28"/>
        <v>300.6342711533278</v>
      </c>
      <c r="L79">
        <f t="shared" si="26"/>
        <v>389.66306223879644</v>
      </c>
      <c r="M79">
        <f t="shared" si="24"/>
        <v>9820.440939635293</v>
      </c>
    </row>
    <row r="80" spans="5:13">
      <c r="E80">
        <v>1953</v>
      </c>
      <c r="F80">
        <f t="shared" si="25"/>
        <v>3172.3868084604774</v>
      </c>
      <c r="G80">
        <f t="shared" si="28"/>
        <v>2348.2115620572386</v>
      </c>
      <c r="H80">
        <f t="shared" si="28"/>
        <v>1710.3143790213687</v>
      </c>
      <c r="I80">
        <f t="shared" si="28"/>
        <v>1123.1971321463316</v>
      </c>
      <c r="J80">
        <f t="shared" si="28"/>
        <v>575.22109502596049</v>
      </c>
      <c r="K80">
        <f t="shared" si="28"/>
        <v>300.63427115332775</v>
      </c>
      <c r="L80">
        <f t="shared" si="26"/>
        <v>389.66306223879644</v>
      </c>
      <c r="M80">
        <f t="shared" si="24"/>
        <v>9820.4409396352912</v>
      </c>
    </row>
    <row r="81" spans="5:13">
      <c r="E81">
        <v>1954</v>
      </c>
      <c r="F81">
        <f t="shared" si="25"/>
        <v>3172.3868084604778</v>
      </c>
      <c r="G81">
        <f t="shared" si="28"/>
        <v>2348.2115620572381</v>
      </c>
      <c r="H81">
        <f t="shared" si="28"/>
        <v>1710.3143790213692</v>
      </c>
      <c r="I81">
        <f t="shared" si="28"/>
        <v>1123.1971321463313</v>
      </c>
      <c r="J81">
        <f t="shared" si="28"/>
        <v>575.22109502596049</v>
      </c>
      <c r="K81">
        <f t="shared" si="28"/>
        <v>300.6342711533278</v>
      </c>
      <c r="L81">
        <f t="shared" si="26"/>
        <v>389.66306223879644</v>
      </c>
      <c r="M81">
        <f t="shared" si="24"/>
        <v>9820.4409396352912</v>
      </c>
    </row>
    <row r="82" spans="5:13">
      <c r="E82">
        <v>1955</v>
      </c>
      <c r="F82">
        <f t="shared" si="25"/>
        <v>3172.3868084604778</v>
      </c>
      <c r="G82">
        <f t="shared" si="28"/>
        <v>2348.2115620572386</v>
      </c>
      <c r="H82">
        <f t="shared" si="28"/>
        <v>1710.3143790213687</v>
      </c>
      <c r="I82">
        <f t="shared" si="28"/>
        <v>1123.1971321463316</v>
      </c>
      <c r="J82">
        <f t="shared" si="28"/>
        <v>575.22109502596038</v>
      </c>
      <c r="K82">
        <f t="shared" si="28"/>
        <v>300.6342711533278</v>
      </c>
      <c r="L82">
        <f t="shared" si="26"/>
        <v>389.66306223879644</v>
      </c>
      <c r="M82">
        <f t="shared" si="24"/>
        <v>9820.440939635293</v>
      </c>
    </row>
    <row r="83" spans="5:13">
      <c r="E83">
        <v>1956</v>
      </c>
      <c r="F83">
        <f t="shared" si="25"/>
        <v>3172.3868084604774</v>
      </c>
      <c r="G83">
        <f t="shared" si="28"/>
        <v>2348.2115620572386</v>
      </c>
      <c r="H83">
        <f t="shared" si="28"/>
        <v>1710.3143790213692</v>
      </c>
      <c r="I83">
        <f t="shared" si="28"/>
        <v>1123.1971321463313</v>
      </c>
      <c r="J83">
        <f t="shared" si="28"/>
        <v>575.22109502596049</v>
      </c>
      <c r="K83">
        <f t="shared" si="28"/>
        <v>300.63427115332775</v>
      </c>
      <c r="L83">
        <f t="shared" si="26"/>
        <v>389.66306223879644</v>
      </c>
      <c r="M83">
        <f t="shared" si="24"/>
        <v>9820.4409396352912</v>
      </c>
    </row>
    <row r="84" spans="5:13">
      <c r="E84">
        <v>1957</v>
      </c>
      <c r="F84">
        <f t="shared" si="25"/>
        <v>3172.3868084604778</v>
      </c>
      <c r="G84">
        <f t="shared" si="28"/>
        <v>2348.2115620572381</v>
      </c>
      <c r="H84">
        <f t="shared" si="28"/>
        <v>1710.3143790213692</v>
      </c>
      <c r="I84">
        <f t="shared" si="28"/>
        <v>1123.1971321463316</v>
      </c>
      <c r="J84">
        <f t="shared" si="28"/>
        <v>575.22109502596038</v>
      </c>
      <c r="K84">
        <f t="shared" si="28"/>
        <v>300.6342711533278</v>
      </c>
      <c r="L84">
        <f t="shared" si="26"/>
        <v>389.66306223879644</v>
      </c>
      <c r="M84">
        <f t="shared" si="24"/>
        <v>9820.440939635293</v>
      </c>
    </row>
    <row r="85" spans="5:13">
      <c r="E85">
        <v>1958</v>
      </c>
      <c r="F85">
        <f t="shared" si="25"/>
        <v>3172.3868084604774</v>
      </c>
      <c r="G85">
        <f t="shared" si="28"/>
        <v>2348.2115620572386</v>
      </c>
      <c r="H85">
        <f t="shared" si="28"/>
        <v>1710.3143790213687</v>
      </c>
      <c r="I85">
        <f t="shared" si="28"/>
        <v>1123.1971321463316</v>
      </c>
      <c r="J85">
        <f t="shared" si="28"/>
        <v>575.22109502596049</v>
      </c>
      <c r="K85">
        <f t="shared" si="28"/>
        <v>300.63427115332775</v>
      </c>
      <c r="L85">
        <f t="shared" si="26"/>
        <v>389.66306223879644</v>
      </c>
      <c r="M85">
        <f t="shared" si="24"/>
        <v>9820.4409396352912</v>
      </c>
    </row>
    <row r="86" spans="5:13">
      <c r="E86">
        <v>1959</v>
      </c>
      <c r="F86">
        <f t="shared" si="25"/>
        <v>3172.3868084604778</v>
      </c>
      <c r="G86">
        <f t="shared" si="28"/>
        <v>2348.2115620572381</v>
      </c>
      <c r="H86">
        <f t="shared" si="28"/>
        <v>1710.3143790213692</v>
      </c>
      <c r="I86">
        <f t="shared" si="28"/>
        <v>1123.1971321463313</v>
      </c>
      <c r="J86">
        <f t="shared" si="28"/>
        <v>575.22109502596049</v>
      </c>
      <c r="K86">
        <f t="shared" si="28"/>
        <v>300.6342711533278</v>
      </c>
      <c r="L86">
        <f t="shared" si="26"/>
        <v>389.66306223879644</v>
      </c>
      <c r="M86">
        <f t="shared" si="24"/>
        <v>9820.4409396352912</v>
      </c>
    </row>
    <row r="87" spans="5:13">
      <c r="E87">
        <v>1960</v>
      </c>
      <c r="F87">
        <f t="shared" si="25"/>
        <v>3172.3868084604778</v>
      </c>
      <c r="G87">
        <f t="shared" si="28"/>
        <v>2348.2115620572386</v>
      </c>
      <c r="H87">
        <f t="shared" si="28"/>
        <v>1710.3143790213687</v>
      </c>
      <c r="I87">
        <f t="shared" si="28"/>
        <v>1123.1971321463316</v>
      </c>
      <c r="J87">
        <f t="shared" si="28"/>
        <v>575.22109502596038</v>
      </c>
      <c r="K87">
        <f t="shared" si="28"/>
        <v>300.6342711533278</v>
      </c>
      <c r="L87">
        <f t="shared" si="26"/>
        <v>389.66306223879644</v>
      </c>
      <c r="M87">
        <f t="shared" si="24"/>
        <v>9820.440939635293</v>
      </c>
    </row>
    <row r="88" spans="5:13">
      <c r="E88">
        <v>1961</v>
      </c>
      <c r="F88">
        <f t="shared" si="25"/>
        <v>3172.3868084604774</v>
      </c>
      <c r="G88">
        <f t="shared" ref="G88:K97" si="29">F87*EXP(-m-fe*F$4)</f>
        <v>2348.2115620572386</v>
      </c>
      <c r="H88">
        <f t="shared" si="29"/>
        <v>1710.3143790213692</v>
      </c>
      <c r="I88">
        <f t="shared" si="29"/>
        <v>1123.1971321463313</v>
      </c>
      <c r="J88">
        <f t="shared" si="29"/>
        <v>575.22109502596049</v>
      </c>
      <c r="K88">
        <f t="shared" si="29"/>
        <v>300.63427115332775</v>
      </c>
      <c r="L88">
        <f t="shared" si="26"/>
        <v>389.66306223879644</v>
      </c>
      <c r="M88">
        <f t="shared" si="24"/>
        <v>9820.4409396352912</v>
      </c>
    </row>
    <row r="89" spans="5:13">
      <c r="E89">
        <v>1962</v>
      </c>
      <c r="F89">
        <f t="shared" si="25"/>
        <v>3172.3868084604778</v>
      </c>
      <c r="G89">
        <f t="shared" si="29"/>
        <v>2348.2115620572381</v>
      </c>
      <c r="H89">
        <f t="shared" si="29"/>
        <v>1710.3143790213692</v>
      </c>
      <c r="I89">
        <f t="shared" si="29"/>
        <v>1123.1971321463316</v>
      </c>
      <c r="J89">
        <f t="shared" si="29"/>
        <v>575.22109502596038</v>
      </c>
      <c r="K89">
        <f t="shared" si="29"/>
        <v>300.6342711533278</v>
      </c>
      <c r="L89">
        <f t="shared" si="26"/>
        <v>389.66306223879644</v>
      </c>
      <c r="M89">
        <f t="shared" si="24"/>
        <v>9820.440939635293</v>
      </c>
    </row>
    <row r="90" spans="5:13">
      <c r="E90">
        <v>1963</v>
      </c>
      <c r="F90">
        <f t="shared" si="25"/>
        <v>3172.3868084604774</v>
      </c>
      <c r="G90">
        <f t="shared" si="29"/>
        <v>2348.2115620572386</v>
      </c>
      <c r="H90">
        <f t="shared" si="29"/>
        <v>1710.3143790213687</v>
      </c>
      <c r="I90">
        <f t="shared" si="29"/>
        <v>1123.1971321463316</v>
      </c>
      <c r="J90">
        <f t="shared" si="29"/>
        <v>575.22109502596049</v>
      </c>
      <c r="K90">
        <f t="shared" si="29"/>
        <v>300.63427115332775</v>
      </c>
      <c r="L90">
        <f t="shared" si="26"/>
        <v>389.66306223879644</v>
      </c>
      <c r="M90">
        <f t="shared" si="24"/>
        <v>9820.4409396352912</v>
      </c>
    </row>
    <row r="91" spans="5:13">
      <c r="E91">
        <v>1964</v>
      </c>
      <c r="F91">
        <f t="shared" si="25"/>
        <v>3172.3868084604778</v>
      </c>
      <c r="G91">
        <f t="shared" si="29"/>
        <v>2348.2115620572381</v>
      </c>
      <c r="H91">
        <f t="shared" si="29"/>
        <v>1710.3143790213692</v>
      </c>
      <c r="I91">
        <f t="shared" si="29"/>
        <v>1123.1971321463313</v>
      </c>
      <c r="J91">
        <f t="shared" si="29"/>
        <v>575.22109502596049</v>
      </c>
      <c r="K91">
        <f t="shared" si="29"/>
        <v>300.6342711533278</v>
      </c>
      <c r="L91">
        <f t="shared" si="26"/>
        <v>389.66306223879644</v>
      </c>
      <c r="M91">
        <f t="shared" ref="M91:M122" si="30">SUMPRODUCT(F91:L91,EXP(-zf*(m+fe*va)),fa)</f>
        <v>9820.4409396352912</v>
      </c>
    </row>
    <row r="92" spans="5:13">
      <c r="E92">
        <v>1965</v>
      </c>
      <c r="F92">
        <f t="shared" ref="F92:F127" si="31">so*M91/(1+beta*M91)</f>
        <v>3172.3868084604778</v>
      </c>
      <c r="G92">
        <f t="shared" si="29"/>
        <v>2348.2115620572386</v>
      </c>
      <c r="H92">
        <f t="shared" si="29"/>
        <v>1710.3143790213687</v>
      </c>
      <c r="I92">
        <f t="shared" si="29"/>
        <v>1123.1971321463316</v>
      </c>
      <c r="J92">
        <f t="shared" si="29"/>
        <v>575.22109502596038</v>
      </c>
      <c r="K92">
        <f t="shared" si="29"/>
        <v>300.6342711533278</v>
      </c>
      <c r="L92">
        <f t="shared" ref="L92:L123" si="32">K91*EXP(-m-fe*K$4)+L91*EXP(-m-fe*va)</f>
        <v>389.66306223879644</v>
      </c>
      <c r="M92">
        <f t="shared" si="30"/>
        <v>9820.440939635293</v>
      </c>
    </row>
    <row r="93" spans="5:13">
      <c r="E93">
        <v>1966</v>
      </c>
      <c r="F93">
        <f t="shared" si="31"/>
        <v>3172.3868084604774</v>
      </c>
      <c r="G93">
        <f t="shared" si="29"/>
        <v>2348.2115620572386</v>
      </c>
      <c r="H93">
        <f t="shared" si="29"/>
        <v>1710.3143790213692</v>
      </c>
      <c r="I93">
        <f t="shared" si="29"/>
        <v>1123.1971321463313</v>
      </c>
      <c r="J93">
        <f t="shared" si="29"/>
        <v>575.22109502596049</v>
      </c>
      <c r="K93">
        <f t="shared" si="29"/>
        <v>300.63427115332775</v>
      </c>
      <c r="L93">
        <f t="shared" si="32"/>
        <v>389.66306223879644</v>
      </c>
      <c r="M93">
        <f t="shared" si="30"/>
        <v>9820.4409396352912</v>
      </c>
    </row>
    <row r="94" spans="5:13">
      <c r="E94">
        <v>1967</v>
      </c>
      <c r="F94">
        <f t="shared" si="31"/>
        <v>3172.3868084604778</v>
      </c>
      <c r="G94">
        <f t="shared" si="29"/>
        <v>2348.2115620572381</v>
      </c>
      <c r="H94">
        <f t="shared" si="29"/>
        <v>1710.3143790213692</v>
      </c>
      <c r="I94">
        <f t="shared" si="29"/>
        <v>1123.1971321463316</v>
      </c>
      <c r="J94">
        <f t="shared" si="29"/>
        <v>575.22109502596038</v>
      </c>
      <c r="K94">
        <f t="shared" si="29"/>
        <v>300.6342711533278</v>
      </c>
      <c r="L94">
        <f t="shared" si="32"/>
        <v>389.66306223879644</v>
      </c>
      <c r="M94">
        <f t="shared" si="30"/>
        <v>9820.440939635293</v>
      </c>
    </row>
    <row r="95" spans="5:13">
      <c r="E95">
        <v>1968</v>
      </c>
      <c r="F95">
        <f t="shared" si="31"/>
        <v>3172.3868084604774</v>
      </c>
      <c r="G95">
        <f t="shared" si="29"/>
        <v>2348.2115620572386</v>
      </c>
      <c r="H95">
        <f t="shared" si="29"/>
        <v>1710.3143790213687</v>
      </c>
      <c r="I95">
        <f t="shared" si="29"/>
        <v>1123.1971321463316</v>
      </c>
      <c r="J95">
        <f t="shared" si="29"/>
        <v>575.22109502596049</v>
      </c>
      <c r="K95">
        <f t="shared" si="29"/>
        <v>300.63427115332775</v>
      </c>
      <c r="L95">
        <f t="shared" si="32"/>
        <v>389.66306223879644</v>
      </c>
      <c r="M95">
        <f t="shared" si="30"/>
        <v>9820.4409396352912</v>
      </c>
    </row>
    <row r="96" spans="5:13">
      <c r="E96">
        <v>1969</v>
      </c>
      <c r="F96">
        <f t="shared" si="31"/>
        <v>3172.3868084604778</v>
      </c>
      <c r="G96">
        <f t="shared" si="29"/>
        <v>2348.2115620572381</v>
      </c>
      <c r="H96">
        <f t="shared" si="29"/>
        <v>1710.3143790213692</v>
      </c>
      <c r="I96">
        <f t="shared" si="29"/>
        <v>1123.1971321463313</v>
      </c>
      <c r="J96">
        <f t="shared" si="29"/>
        <v>575.22109502596049</v>
      </c>
      <c r="K96">
        <f t="shared" si="29"/>
        <v>300.6342711533278</v>
      </c>
      <c r="L96">
        <f t="shared" si="32"/>
        <v>389.66306223879644</v>
      </c>
      <c r="M96">
        <f t="shared" si="30"/>
        <v>9820.4409396352912</v>
      </c>
    </row>
    <row r="97" spans="5:13">
      <c r="E97">
        <v>1970</v>
      </c>
      <c r="F97">
        <f t="shared" si="31"/>
        <v>3172.3868084604778</v>
      </c>
      <c r="G97">
        <f t="shared" si="29"/>
        <v>2348.2115620572386</v>
      </c>
      <c r="H97">
        <f t="shared" si="29"/>
        <v>1710.3143790213687</v>
      </c>
      <c r="I97">
        <f t="shared" si="29"/>
        <v>1123.1971321463316</v>
      </c>
      <c r="J97">
        <f t="shared" si="29"/>
        <v>575.22109502596038</v>
      </c>
      <c r="K97">
        <f t="shared" si="29"/>
        <v>300.6342711533278</v>
      </c>
      <c r="L97">
        <f t="shared" si="32"/>
        <v>389.66306223879644</v>
      </c>
      <c r="M97">
        <f t="shared" si="30"/>
        <v>9820.440939635293</v>
      </c>
    </row>
    <row r="98" spans="5:13">
      <c r="E98">
        <v>1971</v>
      </c>
      <c r="F98">
        <f t="shared" si="31"/>
        <v>3172.3868084604774</v>
      </c>
      <c r="G98">
        <f t="shared" ref="G98:K107" si="33">F97*EXP(-m-fe*F$4)</f>
        <v>2348.2115620572386</v>
      </c>
      <c r="H98">
        <f t="shared" si="33"/>
        <v>1710.3143790213692</v>
      </c>
      <c r="I98">
        <f t="shared" si="33"/>
        <v>1123.1971321463313</v>
      </c>
      <c r="J98">
        <f t="shared" si="33"/>
        <v>575.22109502596049</v>
      </c>
      <c r="K98">
        <f t="shared" si="33"/>
        <v>300.63427115332775</v>
      </c>
      <c r="L98">
        <f t="shared" si="32"/>
        <v>389.66306223879644</v>
      </c>
      <c r="M98">
        <f t="shared" si="30"/>
        <v>9820.4409396352912</v>
      </c>
    </row>
    <row r="99" spans="5:13">
      <c r="E99">
        <v>1972</v>
      </c>
      <c r="F99">
        <f t="shared" si="31"/>
        <v>3172.3868084604778</v>
      </c>
      <c r="G99">
        <f t="shared" si="33"/>
        <v>2348.2115620572381</v>
      </c>
      <c r="H99">
        <f t="shared" si="33"/>
        <v>1710.3143790213692</v>
      </c>
      <c r="I99">
        <f t="shared" si="33"/>
        <v>1123.1971321463316</v>
      </c>
      <c r="J99">
        <f t="shared" si="33"/>
        <v>575.22109502596038</v>
      </c>
      <c r="K99">
        <f t="shared" si="33"/>
        <v>300.6342711533278</v>
      </c>
      <c r="L99">
        <f t="shared" si="32"/>
        <v>389.66306223879644</v>
      </c>
      <c r="M99">
        <f t="shared" si="30"/>
        <v>9820.440939635293</v>
      </c>
    </row>
    <row r="100" spans="5:13">
      <c r="E100">
        <v>1973</v>
      </c>
      <c r="F100">
        <f t="shared" si="31"/>
        <v>3172.3868084604774</v>
      </c>
      <c r="G100">
        <f t="shared" si="33"/>
        <v>2348.2115620572386</v>
      </c>
      <c r="H100">
        <f t="shared" si="33"/>
        <v>1710.3143790213687</v>
      </c>
      <c r="I100">
        <f t="shared" si="33"/>
        <v>1123.1971321463316</v>
      </c>
      <c r="J100">
        <f t="shared" si="33"/>
        <v>575.22109502596049</v>
      </c>
      <c r="K100">
        <f t="shared" si="33"/>
        <v>300.63427115332775</v>
      </c>
      <c r="L100">
        <f t="shared" si="32"/>
        <v>389.66306223879644</v>
      </c>
      <c r="M100">
        <f t="shared" si="30"/>
        <v>9820.4409396352912</v>
      </c>
    </row>
    <row r="101" spans="5:13">
      <c r="E101">
        <v>1974</v>
      </c>
      <c r="F101">
        <f t="shared" si="31"/>
        <v>3172.3868084604778</v>
      </c>
      <c r="G101">
        <f t="shared" si="33"/>
        <v>2348.2115620572381</v>
      </c>
      <c r="H101">
        <f t="shared" si="33"/>
        <v>1710.3143790213692</v>
      </c>
      <c r="I101">
        <f t="shared" si="33"/>
        <v>1123.1971321463313</v>
      </c>
      <c r="J101">
        <f t="shared" si="33"/>
        <v>575.22109502596049</v>
      </c>
      <c r="K101">
        <f t="shared" si="33"/>
        <v>300.6342711533278</v>
      </c>
      <c r="L101">
        <f t="shared" si="32"/>
        <v>389.66306223879644</v>
      </c>
      <c r="M101">
        <f t="shared" si="30"/>
        <v>9820.4409396352912</v>
      </c>
    </row>
    <row r="102" spans="5:13">
      <c r="E102">
        <v>1975</v>
      </c>
      <c r="F102">
        <f t="shared" si="31"/>
        <v>3172.3868084604778</v>
      </c>
      <c r="G102">
        <f t="shared" si="33"/>
        <v>2348.2115620572386</v>
      </c>
      <c r="H102">
        <f t="shared" si="33"/>
        <v>1710.3143790213687</v>
      </c>
      <c r="I102">
        <f t="shared" si="33"/>
        <v>1123.1971321463316</v>
      </c>
      <c r="J102">
        <f t="shared" si="33"/>
        <v>575.22109502596038</v>
      </c>
      <c r="K102">
        <f t="shared" si="33"/>
        <v>300.6342711533278</v>
      </c>
      <c r="L102">
        <f t="shared" si="32"/>
        <v>389.66306223879644</v>
      </c>
      <c r="M102">
        <f t="shared" si="30"/>
        <v>9820.440939635293</v>
      </c>
    </row>
    <row r="103" spans="5:13">
      <c r="E103">
        <v>1976</v>
      </c>
      <c r="F103">
        <f t="shared" si="31"/>
        <v>3172.3868084604774</v>
      </c>
      <c r="G103">
        <f t="shared" si="33"/>
        <v>2348.2115620572386</v>
      </c>
      <c r="H103">
        <f t="shared" si="33"/>
        <v>1710.3143790213692</v>
      </c>
      <c r="I103">
        <f t="shared" si="33"/>
        <v>1123.1971321463313</v>
      </c>
      <c r="J103">
        <f t="shared" si="33"/>
        <v>575.22109502596049</v>
      </c>
      <c r="K103">
        <f t="shared" si="33"/>
        <v>300.63427115332775</v>
      </c>
      <c r="L103">
        <f t="shared" si="32"/>
        <v>389.66306223879644</v>
      </c>
      <c r="M103">
        <f t="shared" si="30"/>
        <v>9820.4409396352912</v>
      </c>
    </row>
    <row r="104" spans="5:13">
      <c r="E104">
        <v>1977</v>
      </c>
      <c r="F104">
        <f t="shared" si="31"/>
        <v>3172.3868084604778</v>
      </c>
      <c r="G104">
        <f t="shared" si="33"/>
        <v>2348.2115620572381</v>
      </c>
      <c r="H104">
        <f t="shared" si="33"/>
        <v>1710.3143790213692</v>
      </c>
      <c r="I104">
        <f t="shared" si="33"/>
        <v>1123.1971321463316</v>
      </c>
      <c r="J104">
        <f t="shared" si="33"/>
        <v>575.22109502596038</v>
      </c>
      <c r="K104">
        <f t="shared" si="33"/>
        <v>300.6342711533278</v>
      </c>
      <c r="L104">
        <f t="shared" si="32"/>
        <v>389.66306223879644</v>
      </c>
      <c r="M104">
        <f t="shared" si="30"/>
        <v>9820.440939635293</v>
      </c>
    </row>
    <row r="105" spans="5:13">
      <c r="E105">
        <v>1978</v>
      </c>
      <c r="F105">
        <f t="shared" si="31"/>
        <v>3172.3868084604774</v>
      </c>
      <c r="G105">
        <f t="shared" si="33"/>
        <v>2348.2115620572386</v>
      </c>
      <c r="H105">
        <f t="shared" si="33"/>
        <v>1710.3143790213687</v>
      </c>
      <c r="I105">
        <f t="shared" si="33"/>
        <v>1123.1971321463316</v>
      </c>
      <c r="J105">
        <f t="shared" si="33"/>
        <v>575.22109502596049</v>
      </c>
      <c r="K105">
        <f t="shared" si="33"/>
        <v>300.63427115332775</v>
      </c>
      <c r="L105">
        <f t="shared" si="32"/>
        <v>389.66306223879644</v>
      </c>
      <c r="M105">
        <f t="shared" si="30"/>
        <v>9820.4409396352912</v>
      </c>
    </row>
    <row r="106" spans="5:13">
      <c r="E106">
        <v>1979</v>
      </c>
      <c r="F106">
        <f t="shared" si="31"/>
        <v>3172.3868084604778</v>
      </c>
      <c r="G106">
        <f t="shared" si="33"/>
        <v>2348.2115620572381</v>
      </c>
      <c r="H106">
        <f t="shared" si="33"/>
        <v>1710.3143790213692</v>
      </c>
      <c r="I106">
        <f t="shared" si="33"/>
        <v>1123.1971321463313</v>
      </c>
      <c r="J106">
        <f t="shared" si="33"/>
        <v>575.22109502596049</v>
      </c>
      <c r="K106">
        <f t="shared" si="33"/>
        <v>300.6342711533278</v>
      </c>
      <c r="L106">
        <f t="shared" si="32"/>
        <v>389.66306223879644</v>
      </c>
      <c r="M106">
        <f t="shared" si="30"/>
        <v>9820.4409396352912</v>
      </c>
    </row>
    <row r="107" spans="5:13">
      <c r="E107">
        <v>1980</v>
      </c>
      <c r="F107">
        <f t="shared" si="31"/>
        <v>3172.3868084604778</v>
      </c>
      <c r="G107">
        <f t="shared" si="33"/>
        <v>2348.2115620572386</v>
      </c>
      <c r="H107">
        <f t="shared" si="33"/>
        <v>1710.3143790213687</v>
      </c>
      <c r="I107">
        <f t="shared" si="33"/>
        <v>1123.1971321463316</v>
      </c>
      <c r="J107">
        <f t="shared" si="33"/>
        <v>575.22109502596038</v>
      </c>
      <c r="K107">
        <f t="shared" si="33"/>
        <v>300.6342711533278</v>
      </c>
      <c r="L107">
        <f t="shared" si="32"/>
        <v>389.66306223879644</v>
      </c>
      <c r="M107">
        <f t="shared" si="30"/>
        <v>9820.440939635293</v>
      </c>
    </row>
    <row r="108" spans="5:13">
      <c r="E108">
        <v>1981</v>
      </c>
      <c r="F108">
        <f t="shared" si="31"/>
        <v>3172.3868084604774</v>
      </c>
      <c r="G108">
        <f t="shared" ref="G108:K117" si="34">F107*EXP(-m-fe*F$4)</f>
        <v>2348.2115620572386</v>
      </c>
      <c r="H108">
        <f t="shared" si="34"/>
        <v>1710.3143790213692</v>
      </c>
      <c r="I108">
        <f t="shared" si="34"/>
        <v>1123.1971321463313</v>
      </c>
      <c r="J108">
        <f t="shared" si="34"/>
        <v>575.22109502596049</v>
      </c>
      <c r="K108">
        <f t="shared" si="34"/>
        <v>300.63427115332775</v>
      </c>
      <c r="L108">
        <f t="shared" si="32"/>
        <v>389.66306223879644</v>
      </c>
      <c r="M108">
        <f t="shared" si="30"/>
        <v>9820.4409396352912</v>
      </c>
    </row>
    <row r="109" spans="5:13">
      <c r="E109">
        <v>1982</v>
      </c>
      <c r="F109">
        <f t="shared" si="31"/>
        <v>3172.3868084604778</v>
      </c>
      <c r="G109">
        <f t="shared" si="34"/>
        <v>2348.2115620572381</v>
      </c>
      <c r="H109">
        <f t="shared" si="34"/>
        <v>1710.3143790213692</v>
      </c>
      <c r="I109">
        <f t="shared" si="34"/>
        <v>1123.1971321463316</v>
      </c>
      <c r="J109">
        <f t="shared" si="34"/>
        <v>575.22109502596038</v>
      </c>
      <c r="K109">
        <f t="shared" si="34"/>
        <v>300.6342711533278</v>
      </c>
      <c r="L109">
        <f t="shared" si="32"/>
        <v>389.66306223879644</v>
      </c>
      <c r="M109">
        <f t="shared" si="30"/>
        <v>9820.440939635293</v>
      </c>
    </row>
    <row r="110" spans="5:13">
      <c r="E110">
        <v>1983</v>
      </c>
      <c r="F110">
        <f t="shared" si="31"/>
        <v>3172.3868084604774</v>
      </c>
      <c r="G110">
        <f t="shared" si="34"/>
        <v>2348.2115620572386</v>
      </c>
      <c r="H110">
        <f t="shared" si="34"/>
        <v>1710.3143790213687</v>
      </c>
      <c r="I110">
        <f t="shared" si="34"/>
        <v>1123.1971321463316</v>
      </c>
      <c r="J110">
        <f t="shared" si="34"/>
        <v>575.22109502596049</v>
      </c>
      <c r="K110">
        <f t="shared" si="34"/>
        <v>300.63427115332775</v>
      </c>
      <c r="L110">
        <f t="shared" si="32"/>
        <v>389.66306223879644</v>
      </c>
      <c r="M110">
        <f t="shared" si="30"/>
        <v>9820.4409396352912</v>
      </c>
    </row>
    <row r="111" spans="5:13">
      <c r="E111">
        <v>1984</v>
      </c>
      <c r="F111">
        <f t="shared" si="31"/>
        <v>3172.3868084604778</v>
      </c>
      <c r="G111">
        <f t="shared" si="34"/>
        <v>2348.2115620572381</v>
      </c>
      <c r="H111">
        <f t="shared" si="34"/>
        <v>1710.3143790213692</v>
      </c>
      <c r="I111">
        <f t="shared" si="34"/>
        <v>1123.1971321463313</v>
      </c>
      <c r="J111">
        <f t="shared" si="34"/>
        <v>575.22109502596049</v>
      </c>
      <c r="K111">
        <f t="shared" si="34"/>
        <v>300.6342711533278</v>
      </c>
      <c r="L111">
        <f t="shared" si="32"/>
        <v>389.66306223879644</v>
      </c>
      <c r="M111">
        <f t="shared" si="30"/>
        <v>9820.4409396352912</v>
      </c>
    </row>
    <row r="112" spans="5:13">
      <c r="E112">
        <v>1985</v>
      </c>
      <c r="F112">
        <f t="shared" si="31"/>
        <v>3172.3868084604778</v>
      </c>
      <c r="G112">
        <f t="shared" si="34"/>
        <v>2348.2115620572386</v>
      </c>
      <c r="H112">
        <f t="shared" si="34"/>
        <v>1710.3143790213687</v>
      </c>
      <c r="I112">
        <f t="shared" si="34"/>
        <v>1123.1971321463316</v>
      </c>
      <c r="J112">
        <f t="shared" si="34"/>
        <v>575.22109502596038</v>
      </c>
      <c r="K112">
        <f t="shared" si="34"/>
        <v>300.6342711533278</v>
      </c>
      <c r="L112">
        <f t="shared" si="32"/>
        <v>389.66306223879644</v>
      </c>
      <c r="M112">
        <f t="shared" si="30"/>
        <v>9820.440939635293</v>
      </c>
    </row>
    <row r="113" spans="5:13">
      <c r="E113">
        <v>1986</v>
      </c>
      <c r="F113">
        <f t="shared" si="31"/>
        <v>3172.3868084604774</v>
      </c>
      <c r="G113">
        <f t="shared" si="34"/>
        <v>2348.2115620572386</v>
      </c>
      <c r="H113">
        <f t="shared" si="34"/>
        <v>1710.3143790213692</v>
      </c>
      <c r="I113">
        <f t="shared" si="34"/>
        <v>1123.1971321463313</v>
      </c>
      <c r="J113">
        <f t="shared" si="34"/>
        <v>575.22109502596049</v>
      </c>
      <c r="K113">
        <f t="shared" si="34"/>
        <v>300.63427115332775</v>
      </c>
      <c r="L113">
        <f t="shared" si="32"/>
        <v>389.66306223879644</v>
      </c>
      <c r="M113">
        <f t="shared" si="30"/>
        <v>9820.4409396352912</v>
      </c>
    </row>
    <row r="114" spans="5:13">
      <c r="E114">
        <v>1987</v>
      </c>
      <c r="F114">
        <f t="shared" si="31"/>
        <v>3172.3868084604778</v>
      </c>
      <c r="G114">
        <f t="shared" si="34"/>
        <v>2348.2115620572381</v>
      </c>
      <c r="H114">
        <f t="shared" si="34"/>
        <v>1710.3143790213692</v>
      </c>
      <c r="I114">
        <f t="shared" si="34"/>
        <v>1123.1971321463316</v>
      </c>
      <c r="J114">
        <f t="shared" si="34"/>
        <v>575.22109502596038</v>
      </c>
      <c r="K114">
        <f t="shared" si="34"/>
        <v>300.6342711533278</v>
      </c>
      <c r="L114">
        <f t="shared" si="32"/>
        <v>389.66306223879644</v>
      </c>
      <c r="M114">
        <f t="shared" si="30"/>
        <v>9820.440939635293</v>
      </c>
    </row>
    <row r="115" spans="5:13">
      <c r="E115">
        <v>1988</v>
      </c>
      <c r="F115">
        <f t="shared" si="31"/>
        <v>3172.3868084604774</v>
      </c>
      <c r="G115">
        <f t="shared" si="34"/>
        <v>2348.2115620572386</v>
      </c>
      <c r="H115">
        <f t="shared" si="34"/>
        <v>1710.3143790213687</v>
      </c>
      <c r="I115">
        <f t="shared" si="34"/>
        <v>1123.1971321463316</v>
      </c>
      <c r="J115">
        <f t="shared" si="34"/>
        <v>575.22109502596049</v>
      </c>
      <c r="K115">
        <f t="shared" si="34"/>
        <v>300.63427115332775</v>
      </c>
      <c r="L115">
        <f t="shared" si="32"/>
        <v>389.66306223879644</v>
      </c>
      <c r="M115">
        <f t="shared" si="30"/>
        <v>9820.4409396352912</v>
      </c>
    </row>
    <row r="116" spans="5:13">
      <c r="E116">
        <v>1989</v>
      </c>
      <c r="F116">
        <f t="shared" si="31"/>
        <v>3172.3868084604778</v>
      </c>
      <c r="G116">
        <f t="shared" si="34"/>
        <v>2348.2115620572381</v>
      </c>
      <c r="H116">
        <f t="shared" si="34"/>
        <v>1710.3143790213692</v>
      </c>
      <c r="I116">
        <f t="shared" si="34"/>
        <v>1123.1971321463313</v>
      </c>
      <c r="J116">
        <f t="shared" si="34"/>
        <v>575.22109502596049</v>
      </c>
      <c r="K116">
        <f t="shared" si="34"/>
        <v>300.6342711533278</v>
      </c>
      <c r="L116">
        <f t="shared" si="32"/>
        <v>389.66306223879644</v>
      </c>
      <c r="M116">
        <f t="shared" si="30"/>
        <v>9820.4409396352912</v>
      </c>
    </row>
    <row r="117" spans="5:13">
      <c r="E117">
        <v>1990</v>
      </c>
      <c r="F117">
        <f t="shared" si="31"/>
        <v>3172.3868084604778</v>
      </c>
      <c r="G117">
        <f t="shared" si="34"/>
        <v>2348.2115620572386</v>
      </c>
      <c r="H117">
        <f t="shared" si="34"/>
        <v>1710.3143790213687</v>
      </c>
      <c r="I117">
        <f t="shared" si="34"/>
        <v>1123.1971321463316</v>
      </c>
      <c r="J117">
        <f t="shared" si="34"/>
        <v>575.22109502596038</v>
      </c>
      <c r="K117">
        <f t="shared" si="34"/>
        <v>300.6342711533278</v>
      </c>
      <c r="L117">
        <f t="shared" si="32"/>
        <v>389.66306223879644</v>
      </c>
      <c r="M117">
        <f t="shared" si="30"/>
        <v>9820.440939635293</v>
      </c>
    </row>
    <row r="118" spans="5:13">
      <c r="E118">
        <v>1991</v>
      </c>
      <c r="F118">
        <f t="shared" si="31"/>
        <v>3172.3868084604774</v>
      </c>
      <c r="G118">
        <f t="shared" ref="G118:K127" si="35">F117*EXP(-m-fe*F$4)</f>
        <v>2348.2115620572386</v>
      </c>
      <c r="H118">
        <f t="shared" si="35"/>
        <v>1710.3143790213692</v>
      </c>
      <c r="I118">
        <f t="shared" si="35"/>
        <v>1123.1971321463313</v>
      </c>
      <c r="J118">
        <f t="shared" si="35"/>
        <v>575.22109502596049</v>
      </c>
      <c r="K118">
        <f t="shared" si="35"/>
        <v>300.63427115332775</v>
      </c>
      <c r="L118">
        <f t="shared" si="32"/>
        <v>389.66306223879644</v>
      </c>
      <c r="M118">
        <f t="shared" si="30"/>
        <v>9820.4409396352912</v>
      </c>
    </row>
    <row r="119" spans="5:13">
      <c r="E119">
        <v>1992</v>
      </c>
      <c r="F119">
        <f t="shared" si="31"/>
        <v>3172.3868084604778</v>
      </c>
      <c r="G119">
        <f t="shared" si="35"/>
        <v>2348.2115620572381</v>
      </c>
      <c r="H119">
        <f t="shared" si="35"/>
        <v>1710.3143790213692</v>
      </c>
      <c r="I119">
        <f t="shared" si="35"/>
        <v>1123.1971321463316</v>
      </c>
      <c r="J119">
        <f t="shared" si="35"/>
        <v>575.22109502596038</v>
      </c>
      <c r="K119">
        <f t="shared" si="35"/>
        <v>300.6342711533278</v>
      </c>
      <c r="L119">
        <f t="shared" si="32"/>
        <v>389.66306223879644</v>
      </c>
      <c r="M119">
        <f t="shared" si="30"/>
        <v>9820.440939635293</v>
      </c>
    </row>
    <row r="120" spans="5:13">
      <c r="E120">
        <v>1993</v>
      </c>
      <c r="F120">
        <f t="shared" si="31"/>
        <v>3172.3868084604774</v>
      </c>
      <c r="G120">
        <f t="shared" si="35"/>
        <v>2348.2115620572386</v>
      </c>
      <c r="H120">
        <f t="shared" si="35"/>
        <v>1710.3143790213687</v>
      </c>
      <c r="I120">
        <f t="shared" si="35"/>
        <v>1123.1971321463316</v>
      </c>
      <c r="J120">
        <f t="shared" si="35"/>
        <v>575.22109502596049</v>
      </c>
      <c r="K120">
        <f t="shared" si="35"/>
        <v>300.63427115332775</v>
      </c>
      <c r="L120">
        <f t="shared" si="32"/>
        <v>389.66306223879644</v>
      </c>
      <c r="M120">
        <f t="shared" si="30"/>
        <v>9820.4409396352912</v>
      </c>
    </row>
    <row r="121" spans="5:13">
      <c r="E121">
        <v>1994</v>
      </c>
      <c r="F121">
        <f t="shared" si="31"/>
        <v>3172.3868084604778</v>
      </c>
      <c r="G121">
        <f t="shared" si="35"/>
        <v>2348.2115620572381</v>
      </c>
      <c r="H121">
        <f t="shared" si="35"/>
        <v>1710.3143790213692</v>
      </c>
      <c r="I121">
        <f t="shared" si="35"/>
        <v>1123.1971321463313</v>
      </c>
      <c r="J121">
        <f t="shared" si="35"/>
        <v>575.22109502596049</v>
      </c>
      <c r="K121">
        <f t="shared" si="35"/>
        <v>300.6342711533278</v>
      </c>
      <c r="L121">
        <f t="shared" si="32"/>
        <v>389.66306223879644</v>
      </c>
      <c r="M121">
        <f t="shared" si="30"/>
        <v>9820.4409396352912</v>
      </c>
    </row>
    <row r="122" spans="5:13">
      <c r="E122">
        <v>1995</v>
      </c>
      <c r="F122">
        <f t="shared" si="31"/>
        <v>3172.3868084604778</v>
      </c>
      <c r="G122">
        <f t="shared" si="35"/>
        <v>2348.2115620572386</v>
      </c>
      <c r="H122">
        <f t="shared" si="35"/>
        <v>1710.3143790213687</v>
      </c>
      <c r="I122">
        <f t="shared" si="35"/>
        <v>1123.1971321463316</v>
      </c>
      <c r="J122">
        <f t="shared" si="35"/>
        <v>575.22109502596038</v>
      </c>
      <c r="K122">
        <f t="shared" si="35"/>
        <v>300.6342711533278</v>
      </c>
      <c r="L122">
        <f t="shared" si="32"/>
        <v>389.66306223879644</v>
      </c>
      <c r="M122">
        <f t="shared" si="30"/>
        <v>9820.440939635293</v>
      </c>
    </row>
    <row r="123" spans="5:13">
      <c r="E123">
        <v>1996</v>
      </c>
      <c r="F123">
        <f t="shared" si="31"/>
        <v>3172.3868084604774</v>
      </c>
      <c r="G123">
        <f t="shared" si="35"/>
        <v>2348.2115620572386</v>
      </c>
      <c r="H123">
        <f t="shared" si="35"/>
        <v>1710.3143790213692</v>
      </c>
      <c r="I123">
        <f t="shared" si="35"/>
        <v>1123.1971321463313</v>
      </c>
      <c r="J123">
        <f t="shared" si="35"/>
        <v>575.22109502596049</v>
      </c>
      <c r="K123">
        <f t="shared" si="35"/>
        <v>300.63427115332775</v>
      </c>
      <c r="L123">
        <f t="shared" si="32"/>
        <v>389.66306223879644</v>
      </c>
      <c r="M123">
        <f>SUMPRODUCT(F123:L123,EXP(-zf*(m+fe*va)),fa)</f>
        <v>9820.4409396352912</v>
      </c>
    </row>
    <row r="124" spans="5:13">
      <c r="E124">
        <v>1997</v>
      </c>
      <c r="F124">
        <f t="shared" si="31"/>
        <v>3172.3868084604778</v>
      </c>
      <c r="G124">
        <f t="shared" si="35"/>
        <v>2348.2115620572381</v>
      </c>
      <c r="H124">
        <f t="shared" si="35"/>
        <v>1710.3143790213692</v>
      </c>
      <c r="I124">
        <f t="shared" si="35"/>
        <v>1123.1971321463316</v>
      </c>
      <c r="J124">
        <f t="shared" si="35"/>
        <v>575.22109502596038</v>
      </c>
      <c r="K124">
        <f t="shared" si="35"/>
        <v>300.6342711533278</v>
      </c>
      <c r="L124">
        <f>K123*EXP(-m-fe*K$4)+L123*EXP(-m-fe*va)</f>
        <v>389.66306223879644</v>
      </c>
      <c r="M124">
        <f>SUMPRODUCT(F124:L124,EXP(-zf*(m+fe*va)),fa)</f>
        <v>9820.440939635293</v>
      </c>
    </row>
    <row r="125" spans="5:13">
      <c r="E125">
        <v>1998</v>
      </c>
      <c r="F125">
        <f t="shared" si="31"/>
        <v>3172.3868084604774</v>
      </c>
      <c r="G125">
        <f t="shared" si="35"/>
        <v>2348.2115620572386</v>
      </c>
      <c r="H125">
        <f t="shared" si="35"/>
        <v>1710.3143790213687</v>
      </c>
      <c r="I125">
        <f t="shared" si="35"/>
        <v>1123.1971321463316</v>
      </c>
      <c r="J125">
        <f t="shared" si="35"/>
        <v>575.22109502596049</v>
      </c>
      <c r="K125">
        <f t="shared" si="35"/>
        <v>300.63427115332775</v>
      </c>
      <c r="L125">
        <f>K124*EXP(-m-fe*K$4)+L124*EXP(-m-fe*va)</f>
        <v>389.66306223879644</v>
      </c>
      <c r="M125">
        <f>SUMPRODUCT(F125:L125,EXP(-zf*(m+fe*va)),fa)</f>
        <v>9820.4409396352912</v>
      </c>
    </row>
    <row r="126" spans="5:13">
      <c r="E126">
        <v>1999</v>
      </c>
      <c r="F126">
        <f t="shared" si="31"/>
        <v>3172.3868084604778</v>
      </c>
      <c r="G126">
        <f t="shared" si="35"/>
        <v>2348.2115620572381</v>
      </c>
      <c r="H126">
        <f t="shared" si="35"/>
        <v>1710.3143790213692</v>
      </c>
      <c r="I126">
        <f t="shared" si="35"/>
        <v>1123.1971321463313</v>
      </c>
      <c r="J126">
        <f t="shared" si="35"/>
        <v>575.22109502596049</v>
      </c>
      <c r="K126">
        <f t="shared" si="35"/>
        <v>300.6342711533278</v>
      </c>
      <c r="L126">
        <f>K125*EXP(-m-fe*K$4)+L125*EXP(-m-fe*va)</f>
        <v>389.66306223879644</v>
      </c>
      <c r="M126">
        <f>SUMPRODUCT(F126:L126,EXP(-zf*(m+fe*va)),fa)</f>
        <v>9820.4409396352912</v>
      </c>
    </row>
    <row r="127" spans="5:13">
      <c r="E127">
        <v>2000</v>
      </c>
      <c r="F127">
        <f t="shared" si="31"/>
        <v>3172.3868084604778</v>
      </c>
      <c r="G127">
        <f t="shared" si="35"/>
        <v>2348.2115620572386</v>
      </c>
      <c r="H127">
        <f t="shared" si="35"/>
        <v>1710.3143790213687</v>
      </c>
      <c r="I127">
        <f t="shared" si="35"/>
        <v>1123.1971321463316</v>
      </c>
      <c r="J127">
        <f t="shared" si="35"/>
        <v>575.22109502596038</v>
      </c>
      <c r="K127">
        <f t="shared" si="35"/>
        <v>300.6342711533278</v>
      </c>
      <c r="L127">
        <f>K126*EXP(-m-fe*K$4)+L126*EXP(-m-fe*va)</f>
        <v>389.66306223879644</v>
      </c>
      <c r="M127">
        <f>SUMPRODUCT(F127:L127,EXP(-zf*(m+fe*va)),fa)</f>
        <v>9820.440939635293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Allocation Mar</vt:lpstr>
      <vt:lpstr>Allocation</vt:lpstr>
      <vt:lpstr>SingleFleet</vt:lpstr>
      <vt:lpstr>Sheet5</vt:lpstr>
      <vt:lpstr>FlakLake</vt:lpstr>
    </vt:vector>
  </TitlesOfParts>
  <Company>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Martell</dc:creator>
  <cp:lastModifiedBy>Catarina Wor</cp:lastModifiedBy>
  <dcterms:created xsi:type="dcterms:W3CDTF">2012-07-11T06:54:14Z</dcterms:created>
  <dcterms:modified xsi:type="dcterms:W3CDTF">2015-07-01T23:10:38Z</dcterms:modified>
</cp:coreProperties>
</file>