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2480" windowWidth="51200" windowHeight="28260" tabRatio="500"/>
  </bookViews>
  <sheets>
    <sheet name="Proof of Concept" sheetId="1" r:id="rId1"/>
  </sheets>
  <definedNames>
    <definedName name="age">'Proof of Concept'!$K$3:$AI$3</definedName>
    <definedName name="ah">'Proof of Concept'!$G$18:$G$20</definedName>
    <definedName name="Bo">'Proof of Concept'!$B$18</definedName>
    <definedName name="daq21_">'Proof of Concept'!$K$38:$AI$38</definedName>
    <definedName name="dlz1_">'Proof of Concept'!$K$31:$AI$31</definedName>
    <definedName name="dlz2_">'Proof of Concept'!$K$32:$AI$32</definedName>
    <definedName name="dlz3_">'Proof of Concept'!$K$33:$AI$33</definedName>
    <definedName name="dmr">'Proof of Concept'!$F$18:$F$20</definedName>
    <definedName name="dphif" localSheetId="0">'Proof of Concept'!$G$31:$G$33</definedName>
    <definedName name="dqa1_">'Proof of Concept'!$K$35:$AI$35</definedName>
    <definedName name="dqa11_">'Proof of Concept'!$K$35:$AI$35</definedName>
    <definedName name="dqa12_">'Proof of Concept'!$K$40:$AI$40</definedName>
    <definedName name="dqa13_">'Proof of Concept'!$K$42:$AI$42</definedName>
    <definedName name="dqa2_">'Proof of Concept'!$K$36:$AI$36</definedName>
    <definedName name="dqa21_">'Proof of Concept'!$K$38:$AI$38</definedName>
    <definedName name="dqa22_">'Proof of Concept'!$K$36:$AI$36</definedName>
    <definedName name="dqa23_">'Proof of Concept'!$K$43:$AI$43</definedName>
    <definedName name="dqa3_">'Proof of Concept'!$K$37:$AI$37</definedName>
    <definedName name="dqa31_">'Proof of Concept'!$K$39:$AI$39</definedName>
    <definedName name="dqa32_">'Proof of Concept'!$K$41:$AI$41</definedName>
    <definedName name="dqa33_">'Proof of Concept'!$K$37:$AI$37</definedName>
    <definedName name="dre">'Proof of Concept'!$H$31:$H$33</definedName>
    <definedName name="f1_">'Proof of Concept'!$B$27</definedName>
    <definedName name="f2_">'Proof of Concept'!$B$28</definedName>
    <definedName name="f3_">'Proof of Concept'!$B$29</definedName>
    <definedName name="fbar">'Proof of Concept'!$B$30</definedName>
    <definedName name="flt1_">'Proof of Concept'!$K$18:$AI$18</definedName>
    <definedName name="flt2_">'Proof of Concept'!$K$19:$AI$19</definedName>
    <definedName name="flt3_">'Proof of Concept'!$K$20:$AI$20</definedName>
    <definedName name="g">'Proof of Concept'!$I$18:$I$20</definedName>
    <definedName name="gamma">'Proof of Concept'!$I$18:$I$20</definedName>
    <definedName name="gh">'Proof of Concept'!$H$18:$H$20</definedName>
    <definedName name="len">'Proof of Concept'!$K$4:$AI$4</definedName>
    <definedName name="linf">'Proof of Concept'!$B$22</definedName>
    <definedName name="lx">'Proof of Concept'!$K$6:$AI$6</definedName>
    <definedName name="lz">'Proof of Concept'!$K$7:$AI$7</definedName>
    <definedName name="M">'Proof of Concept'!$B$20</definedName>
    <definedName name="ma">'Proof of Concept'!$K$9:$AI$9</definedName>
    <definedName name="mpr1_">'Proof of Concept'!$B$53</definedName>
    <definedName name="mpr2_">'Proof of Concept'!$B$54</definedName>
    <definedName name="mpr3_">'Proof of Concept'!$B$55</definedName>
    <definedName name="oa">'Proof of Concept'!$K$11:$AI$11</definedName>
    <definedName name="phi_q1">'Proof of Concept'!$B$38</definedName>
    <definedName name="phi_q2">'Proof of Concept'!$B$39</definedName>
    <definedName name="phi_q3">'Proof of Concept'!$B$40</definedName>
    <definedName name="phi_t1">'Proof of Concept'!$B$35</definedName>
    <definedName name="phi_t2">'Proof of Concept'!$B$36</definedName>
    <definedName name="phi_t3">'Proof of Concept'!$B$37</definedName>
    <definedName name="phie">'Proof of Concept'!$B$33</definedName>
    <definedName name="phif">'Proof of Concept'!$B$34</definedName>
    <definedName name="qa1_">'Proof of Concept'!$K$22:$AI$22</definedName>
    <definedName name="qa2_">'Proof of Concept'!$K$23:$AI$23</definedName>
    <definedName name="qa3_">'Proof of Concept'!$K$24:$AI$24</definedName>
    <definedName name="re">'Proof of Concept'!$B$44</definedName>
    <definedName name="reck">'Proof of Concept'!$B$19</definedName>
    <definedName name="Ro">'Proof of Concept'!$B$21</definedName>
    <definedName name="sa">'Proof of Concept'!$K$10:$AI$10</definedName>
    <definedName name="slim">'Proof of Concept'!$E$18:$E$20</definedName>
    <definedName name="solver_adj" localSheetId="0" hidden="1">'Proof of Concept'!$B$27,'Proof of Concept'!$B$28,'Proof of Concept'!$B$29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'Proof of Concept'!$C$15</definedName>
    <definedName name="solver_pre" localSheetId="0" hidden="1">0.000000001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  <definedName name="spr">'Proof of Concept'!$B$43</definedName>
    <definedName name="sr">'Proof of Concept'!$K$12:$AI$12</definedName>
    <definedName name="ta1_">'Proof of Concept'!$K$26:$AI$26</definedName>
    <definedName name="ta2_">'Proof of Concept'!$K$27:$AI$27</definedName>
    <definedName name="ta3_">'Proof of Concept'!$K$28:$AI$28</definedName>
    <definedName name="vonbk">'Proof of Concept'!$B$23</definedName>
    <definedName name="wa">'Proof of Concept'!$K$5:$AI$5</definedName>
    <definedName name="ye_1">'Proof of Concept'!$B$45</definedName>
    <definedName name="ye_2">'Proof of Concept'!$B$46</definedName>
    <definedName name="ye_3">'Proof of Concept'!$B$47</definedName>
    <definedName name="ypr1">'Proof of Concept'!$B$50</definedName>
    <definedName name="ypr2">'Proof of Concept'!$B$51</definedName>
    <definedName name="ypr3">'Proof of Concept'!$B$52</definedName>
    <definedName name="za">'Proof of Concept'!$K$8:$AI$8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8" i="1" l="1"/>
  <c r="L7" i="1"/>
  <c r="L8" i="1"/>
  <c r="M7" i="1"/>
  <c r="M8" i="1"/>
  <c r="N7" i="1"/>
  <c r="N8" i="1"/>
  <c r="O7" i="1"/>
  <c r="O8" i="1"/>
  <c r="P7" i="1"/>
  <c r="P8" i="1"/>
  <c r="Q7" i="1"/>
  <c r="Q8" i="1"/>
  <c r="R7" i="1"/>
  <c r="R8" i="1"/>
  <c r="S7" i="1"/>
  <c r="S8" i="1"/>
  <c r="T7" i="1"/>
  <c r="T8" i="1"/>
  <c r="U7" i="1"/>
  <c r="U8" i="1"/>
  <c r="V7" i="1"/>
  <c r="V8" i="1"/>
  <c r="W7" i="1"/>
  <c r="W8" i="1"/>
  <c r="X7" i="1"/>
  <c r="X8" i="1"/>
  <c r="Y7" i="1"/>
  <c r="Y8" i="1"/>
  <c r="Z7" i="1"/>
  <c r="Z8" i="1"/>
  <c r="AA7" i="1"/>
  <c r="AA8" i="1"/>
  <c r="AB7" i="1"/>
  <c r="AB8" i="1"/>
  <c r="AC7" i="1"/>
  <c r="AC8" i="1"/>
  <c r="AD7" i="1"/>
  <c r="AD8" i="1"/>
  <c r="AE7" i="1"/>
  <c r="AE8" i="1"/>
  <c r="AF7" i="1"/>
  <c r="AF8" i="1"/>
  <c r="AG7" i="1"/>
  <c r="AG8" i="1"/>
  <c r="AH7" i="1"/>
  <c r="AH8" i="1"/>
  <c r="AI8" i="1"/>
  <c r="AI7" i="1"/>
  <c r="B34" i="1"/>
  <c r="B43" i="1"/>
  <c r="B44" i="1"/>
  <c r="K20" i="1"/>
  <c r="K19" i="1"/>
  <c r="B23" i="1"/>
  <c r="K4" i="1"/>
  <c r="K12" i="1"/>
  <c r="K18" i="1"/>
  <c r="K7" i="1"/>
  <c r="L20" i="1"/>
  <c r="L19" i="1"/>
  <c r="L4" i="1"/>
  <c r="L12" i="1"/>
  <c r="L18" i="1"/>
  <c r="M20" i="1"/>
  <c r="M19" i="1"/>
  <c r="M4" i="1"/>
  <c r="M12" i="1"/>
  <c r="M18" i="1"/>
  <c r="N20" i="1"/>
  <c r="N19" i="1"/>
  <c r="N4" i="1"/>
  <c r="N12" i="1"/>
  <c r="N18" i="1"/>
  <c r="O20" i="1"/>
  <c r="O19" i="1"/>
  <c r="O4" i="1"/>
  <c r="O12" i="1"/>
  <c r="O18" i="1"/>
  <c r="P20" i="1"/>
  <c r="P19" i="1"/>
  <c r="P4" i="1"/>
  <c r="P12" i="1"/>
  <c r="P18" i="1"/>
  <c r="Q20" i="1"/>
  <c r="Q19" i="1"/>
  <c r="Q4" i="1"/>
  <c r="Q12" i="1"/>
  <c r="Q18" i="1"/>
  <c r="R20" i="1"/>
  <c r="R19" i="1"/>
  <c r="R4" i="1"/>
  <c r="R12" i="1"/>
  <c r="R18" i="1"/>
  <c r="S20" i="1"/>
  <c r="S19" i="1"/>
  <c r="S4" i="1"/>
  <c r="S12" i="1"/>
  <c r="S18" i="1"/>
  <c r="T20" i="1"/>
  <c r="T19" i="1"/>
  <c r="T4" i="1"/>
  <c r="T12" i="1"/>
  <c r="T18" i="1"/>
  <c r="U20" i="1"/>
  <c r="U19" i="1"/>
  <c r="U4" i="1"/>
  <c r="U12" i="1"/>
  <c r="U18" i="1"/>
  <c r="V20" i="1"/>
  <c r="V19" i="1"/>
  <c r="V4" i="1"/>
  <c r="V12" i="1"/>
  <c r="V18" i="1"/>
  <c r="W20" i="1"/>
  <c r="W19" i="1"/>
  <c r="W4" i="1"/>
  <c r="W12" i="1"/>
  <c r="W18" i="1"/>
  <c r="X20" i="1"/>
  <c r="X19" i="1"/>
  <c r="X4" i="1"/>
  <c r="X12" i="1"/>
  <c r="X18" i="1"/>
  <c r="Y20" i="1"/>
  <c r="Y19" i="1"/>
  <c r="Y4" i="1"/>
  <c r="Y12" i="1"/>
  <c r="Y18" i="1"/>
  <c r="Z20" i="1"/>
  <c r="Z19" i="1"/>
  <c r="Z4" i="1"/>
  <c r="Z12" i="1"/>
  <c r="Z18" i="1"/>
  <c r="AA20" i="1"/>
  <c r="AA19" i="1"/>
  <c r="AA4" i="1"/>
  <c r="AA12" i="1"/>
  <c r="AA18" i="1"/>
  <c r="AB20" i="1"/>
  <c r="AB19" i="1"/>
  <c r="AB4" i="1"/>
  <c r="AB12" i="1"/>
  <c r="AB18" i="1"/>
  <c r="AC20" i="1"/>
  <c r="AC19" i="1"/>
  <c r="AC4" i="1"/>
  <c r="AC12" i="1"/>
  <c r="AC18" i="1"/>
  <c r="AD20" i="1"/>
  <c r="AD19" i="1"/>
  <c r="AD4" i="1"/>
  <c r="AD12" i="1"/>
  <c r="AD18" i="1"/>
  <c r="AE20" i="1"/>
  <c r="AE19" i="1"/>
  <c r="AE4" i="1"/>
  <c r="AE12" i="1"/>
  <c r="AE18" i="1"/>
  <c r="AF20" i="1"/>
  <c r="AF19" i="1"/>
  <c r="AF4" i="1"/>
  <c r="AF12" i="1"/>
  <c r="AF18" i="1"/>
  <c r="AG20" i="1"/>
  <c r="AG19" i="1"/>
  <c r="AG4" i="1"/>
  <c r="AG12" i="1"/>
  <c r="AG18" i="1"/>
  <c r="AH20" i="1"/>
  <c r="AH19" i="1"/>
  <c r="AH4" i="1"/>
  <c r="AH12" i="1"/>
  <c r="AH18" i="1"/>
  <c r="AI20" i="1"/>
  <c r="AI19" i="1"/>
  <c r="AI4" i="1"/>
  <c r="AI12" i="1"/>
  <c r="AI18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B13" i="1"/>
  <c r="B6" i="1"/>
  <c r="AI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K6" i="1"/>
  <c r="B33" i="1"/>
  <c r="B21" i="1"/>
  <c r="C7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C14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G31" i="1"/>
  <c r="H31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G32" i="1"/>
  <c r="H32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G33" i="1"/>
  <c r="H33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G35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H35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I35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G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H36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I36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G37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H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I37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B38" i="1"/>
  <c r="B50" i="1"/>
  <c r="B45" i="1"/>
  <c r="B36" i="1"/>
  <c r="B54" i="1"/>
  <c r="B37" i="1"/>
  <c r="B55" i="1"/>
  <c r="G39" i="1"/>
  <c r="G52" i="1"/>
  <c r="J53" i="1" a="1"/>
  <c r="J53" i="1"/>
  <c r="G53" i="1"/>
  <c r="G47" i="1"/>
  <c r="H39" i="1"/>
  <c r="I39" i="1"/>
  <c r="G40" i="1"/>
  <c r="G41" i="1"/>
  <c r="B39" i="1"/>
  <c r="B51" i="1"/>
  <c r="B40" i="1"/>
  <c r="B52" i="1"/>
  <c r="C52" i="1"/>
  <c r="C51" i="1"/>
  <c r="C50" i="1"/>
  <c r="I41" i="1"/>
  <c r="I52" i="1"/>
  <c r="J55" i="1"/>
  <c r="I55" i="1"/>
  <c r="I49" i="1"/>
  <c r="H41" i="1"/>
  <c r="H40" i="1"/>
  <c r="H52" i="1"/>
  <c r="H55" i="1"/>
  <c r="H49" i="1"/>
  <c r="G55" i="1"/>
  <c r="G49" i="1"/>
  <c r="J54" i="1"/>
  <c r="I54" i="1"/>
  <c r="I40" i="1"/>
  <c r="I48" i="1"/>
  <c r="H54" i="1"/>
  <c r="H48" i="1"/>
  <c r="G54" i="1"/>
  <c r="G48" i="1"/>
  <c r="B46" i="1"/>
  <c r="B47" i="1"/>
  <c r="B48" i="1"/>
  <c r="I53" i="1"/>
  <c r="I47" i="1"/>
  <c r="H53" i="1"/>
  <c r="H47" i="1"/>
  <c r="C45" i="1"/>
  <c r="C4" i="1"/>
  <c r="C5" i="1"/>
  <c r="C6" i="1"/>
  <c r="C8" i="1"/>
  <c r="C47" i="1"/>
  <c r="C46" i="1"/>
  <c r="B35" i="1"/>
  <c r="B53" i="1"/>
  <c r="C55" i="1"/>
  <c r="C54" i="1"/>
  <c r="C11" i="1"/>
  <c r="C12" i="1"/>
  <c r="C13" i="1"/>
  <c r="C15" i="1"/>
  <c r="C53" i="1"/>
</calcChain>
</file>

<file path=xl/comments1.xml><?xml version="1.0" encoding="utf-8"?>
<comments xmlns="http://schemas.openxmlformats.org/spreadsheetml/2006/main">
  <authors>
    <author>Steve Martell</author>
  </authors>
  <commentList>
    <comment ref="G48" authorId="0">
      <text>
        <r>
          <rPr>
            <b/>
            <sz val="9"/>
            <color indexed="81"/>
            <rFont val="Palatino Linotype"/>
            <family val="2"/>
          </rPr>
          <t>Steve Martell:</t>
        </r>
        <r>
          <rPr>
            <sz val="9"/>
            <color indexed="81"/>
            <rFont val="Palatino Linotype"/>
            <family val="2"/>
          </rPr>
          <t xml:space="preserve">
</t>
        </r>
        <r>
          <rPr>
            <b/>
            <sz val="9"/>
            <color indexed="81"/>
            <rFont val="Palatino Linotype"/>
            <family val="2"/>
          </rPr>
          <t>What do I mean by mitigation?</t>
        </r>
        <r>
          <rPr>
            <sz val="9"/>
            <color indexed="81"/>
            <rFont val="Palatino Linotype"/>
            <family val="2"/>
          </rPr>
          <t xml:space="preserve">
Eg. For each pound of catch in fishery k, there is a corresponding loss of xx pounds in fishery k'.  If fishery k wants to increase its catch by 1 pound, then fishery k' must reduce its bycatch by 1/xx pounds. (row=k,col=k')</t>
        </r>
      </text>
    </comment>
  </commentList>
</comments>
</file>

<file path=xl/sharedStrings.xml><?xml version="1.0" encoding="utf-8"?>
<sst xmlns="http://schemas.openxmlformats.org/spreadsheetml/2006/main" count="101" uniqueCount="96">
  <si>
    <t>SPR Based PSC Caps</t>
  </si>
  <si>
    <t>Age Schedules</t>
  </si>
  <si>
    <t>age</t>
  </si>
  <si>
    <t>wa</t>
  </si>
  <si>
    <t>Population parameters</t>
  </si>
  <si>
    <t>M</t>
  </si>
  <si>
    <t>lx</t>
  </si>
  <si>
    <t>lz</t>
  </si>
  <si>
    <t>Selectivities</t>
  </si>
  <si>
    <t>ah</t>
  </si>
  <si>
    <t>gh</t>
  </si>
  <si>
    <t>za</t>
  </si>
  <si>
    <t>g</t>
  </si>
  <si>
    <t>Fishing Mortality</t>
  </si>
  <si>
    <t>f1_</t>
  </si>
  <si>
    <t>f2_</t>
  </si>
  <si>
    <t>flt1_</t>
  </si>
  <si>
    <t>flt2_</t>
  </si>
  <si>
    <t>flt3_</t>
  </si>
  <si>
    <t>f3_</t>
  </si>
  <si>
    <t>Bo</t>
  </si>
  <si>
    <t>reck</t>
  </si>
  <si>
    <t>Incidence functions</t>
  </si>
  <si>
    <t>qa1</t>
  </si>
  <si>
    <t>qa2</t>
  </si>
  <si>
    <t>qa3</t>
  </si>
  <si>
    <t>ma</t>
  </si>
  <si>
    <t>phif</t>
  </si>
  <si>
    <t>phie</t>
  </si>
  <si>
    <t>Mortality at age</t>
  </si>
  <si>
    <t>ta1</t>
  </si>
  <si>
    <t>ta2</t>
  </si>
  <si>
    <t>ta3</t>
  </si>
  <si>
    <t>phi_t1</t>
  </si>
  <si>
    <t>phi_t2</t>
  </si>
  <si>
    <t>phi_t3</t>
  </si>
  <si>
    <t>phi_q1</t>
  </si>
  <si>
    <t>phi_q2</t>
  </si>
  <si>
    <t>phi_q3</t>
  </si>
  <si>
    <t>Steady state conditions</t>
  </si>
  <si>
    <t>spr</t>
  </si>
  <si>
    <t>re</t>
  </si>
  <si>
    <t>Ro</t>
  </si>
  <si>
    <t>ye_1</t>
  </si>
  <si>
    <t>ye_2</t>
  </si>
  <si>
    <t>ye_3</t>
  </si>
  <si>
    <t>Fleet</t>
  </si>
  <si>
    <t>Allocation</t>
  </si>
  <si>
    <t>Actual</t>
  </si>
  <si>
    <t>SPR</t>
  </si>
  <si>
    <t>OBJFUN</t>
  </si>
  <si>
    <t>Partial derivatives</t>
  </si>
  <si>
    <t>dlz1</t>
  </si>
  <si>
    <t>dlz2</t>
  </si>
  <si>
    <t>dlz3</t>
  </si>
  <si>
    <t>sa</t>
  </si>
  <si>
    <t>oa</t>
  </si>
  <si>
    <t>dphiq</t>
  </si>
  <si>
    <t>dphif</t>
  </si>
  <si>
    <t>dre</t>
  </si>
  <si>
    <t>dqa21</t>
  </si>
  <si>
    <t>dqa23</t>
  </si>
  <si>
    <t>dqa11</t>
  </si>
  <si>
    <t>dqa22</t>
  </si>
  <si>
    <t>dqa33</t>
  </si>
  <si>
    <t>dqa12</t>
  </si>
  <si>
    <t>dqa31</t>
  </si>
  <si>
    <t>dqa32</t>
  </si>
  <si>
    <t>dqa13</t>
  </si>
  <si>
    <t>dye</t>
  </si>
  <si>
    <t>Outer product of dye</t>
  </si>
  <si>
    <t>Vulnerable weight at age</t>
  </si>
  <si>
    <t>Total</t>
  </si>
  <si>
    <t>Total Mortality Rate Allocation</t>
  </si>
  <si>
    <t>Catch Allocation</t>
  </si>
  <si>
    <t>ypr_1</t>
  </si>
  <si>
    <t>ypr_2</t>
  </si>
  <si>
    <t>ypr_3</t>
  </si>
  <si>
    <t>len</t>
  </si>
  <si>
    <t>linf</t>
  </si>
  <si>
    <t>vonbk</t>
  </si>
  <si>
    <t>slim</t>
  </si>
  <si>
    <t>dmr</t>
  </si>
  <si>
    <t>sr</t>
  </si>
  <si>
    <t>F1</t>
  </si>
  <si>
    <t>F2</t>
  </si>
  <si>
    <t>F3</t>
  </si>
  <si>
    <t>Available yield at age</t>
  </si>
  <si>
    <t>ypr1</t>
  </si>
  <si>
    <t>ypr2</t>
  </si>
  <si>
    <t>ypr3</t>
  </si>
  <si>
    <t>mpr1</t>
  </si>
  <si>
    <t>mpr2</t>
  </si>
  <si>
    <t>mpr3</t>
  </si>
  <si>
    <t>Yield Mitigation</t>
  </si>
  <si>
    <t>fbar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</si>
</sst>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00"/>
    <numFmt numFmtId="165" formatCode="0.0000"/>
  </numFmts>
  <fonts count="14" x14ac:knownFonts="1">
    <font>
      <sz val="12"/>
      <color theme="1"/>
      <name val="Palatino Linotype"/>
      <family val="2"/>
      <scheme val="minor"/>
    </font>
    <font>
      <sz val="12"/>
      <color theme="1"/>
      <name val="Palatino Linotype"/>
      <family val="2"/>
      <scheme val="minor"/>
    </font>
    <font>
      <sz val="12"/>
      <color theme="0"/>
      <name val="Palatino Linotype"/>
      <family val="2"/>
      <scheme val="minor"/>
    </font>
    <font>
      <sz val="12"/>
      <color theme="3"/>
      <name val="Palatino Linotype"/>
      <scheme val="minor"/>
    </font>
    <font>
      <sz val="12"/>
      <color theme="6"/>
      <name val="Palatino Linotype"/>
      <scheme val="minor"/>
    </font>
    <font>
      <sz val="8"/>
      <name val="Palatino Linotype"/>
      <family val="2"/>
      <scheme val="minor"/>
    </font>
    <font>
      <u/>
      <sz val="12"/>
      <color theme="10"/>
      <name val="Palatino Linotype"/>
      <family val="2"/>
      <scheme val="minor"/>
    </font>
    <font>
      <u/>
      <sz val="12"/>
      <color theme="11"/>
      <name val="Palatino Linotype"/>
      <family val="2"/>
      <scheme val="minor"/>
    </font>
    <font>
      <sz val="12"/>
      <name val="Palatino Linotype"/>
      <scheme val="minor"/>
    </font>
    <font>
      <sz val="12"/>
      <color theme="5"/>
      <name val="Palatino Linotype"/>
      <scheme val="minor"/>
    </font>
    <font>
      <sz val="12"/>
      <color theme="7"/>
      <name val="Palatino Linotype"/>
      <scheme val="minor"/>
    </font>
    <font>
      <sz val="9"/>
      <color indexed="81"/>
      <name val="Palatino Linotype"/>
      <family val="2"/>
    </font>
    <font>
      <b/>
      <sz val="9"/>
      <color indexed="81"/>
      <name val="Palatino Linotype"/>
      <family val="2"/>
    </font>
    <font>
      <b/>
      <sz val="12"/>
      <color theme="1"/>
      <name val="Palatino Linotype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2" applyNumberFormat="1" applyFont="1"/>
    <xf numFmtId="0" fontId="0" fillId="0" borderId="0" xfId="0" applyFo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2" fontId="0" fillId="0" borderId="0" xfId="1" applyNumberFormat="1" applyFont="1"/>
    <xf numFmtId="10" fontId="4" fillId="0" borderId="0" xfId="0" applyNumberFormat="1" applyFont="1"/>
    <xf numFmtId="2" fontId="0" fillId="0" borderId="0" xfId="0" applyNumberFormat="1" applyFont="1"/>
    <xf numFmtId="0" fontId="2" fillId="4" borderId="0" xfId="5"/>
    <xf numFmtId="0" fontId="2" fillId="6" borderId="0" xfId="7"/>
    <xf numFmtId="0" fontId="2" fillId="2" borderId="0" xfId="3"/>
    <xf numFmtId="2" fontId="2" fillId="5" borderId="0" xfId="6" applyNumberFormat="1"/>
    <xf numFmtId="0" fontId="2" fillId="5" borderId="0" xfId="6"/>
    <xf numFmtId="0" fontId="4" fillId="0" borderId="0" xfId="0" applyFont="1"/>
    <xf numFmtId="9" fontId="4" fillId="0" borderId="0" xfId="2" applyFont="1"/>
    <xf numFmtId="0" fontId="8" fillId="0" borderId="0" xfId="0" applyFont="1" applyAlignment="1">
      <alignment horizontal="right"/>
    </xf>
    <xf numFmtId="10" fontId="9" fillId="0" borderId="0" xfId="2" applyNumberFormat="1" applyFont="1"/>
    <xf numFmtId="0" fontId="10" fillId="0" borderId="0" xfId="0" applyFont="1"/>
    <xf numFmtId="9" fontId="10" fillId="0" borderId="0" xfId="2" applyFont="1"/>
    <xf numFmtId="2" fontId="10" fillId="0" borderId="0" xfId="0" applyNumberFormat="1" applyFont="1"/>
    <xf numFmtId="0" fontId="2" fillId="5" borderId="0" xfId="6" applyAlignment="1">
      <alignment horizontal="left"/>
    </xf>
    <xf numFmtId="9" fontId="8" fillId="0" borderId="0" xfId="2" applyFont="1"/>
    <xf numFmtId="0" fontId="3" fillId="0" borderId="0" xfId="0" applyFont="1"/>
    <xf numFmtId="0" fontId="0" fillId="0" borderId="0" xfId="0" applyFont="1" applyAlignment="1">
      <alignment horizontal="right"/>
    </xf>
    <xf numFmtId="165" fontId="2" fillId="3" borderId="0" xfId="4" applyNumberFormat="1" applyAlignment="1">
      <alignment horizontal="center"/>
    </xf>
    <xf numFmtId="2" fontId="4" fillId="0" borderId="0" xfId="0" applyNumberFormat="1" applyFont="1"/>
    <xf numFmtId="2" fontId="8" fillId="0" borderId="0" xfId="0" applyNumberFormat="1" applyFont="1"/>
    <xf numFmtId="164" fontId="0" fillId="0" borderId="0" xfId="0" applyNumberFormat="1"/>
    <xf numFmtId="0" fontId="2" fillId="6" borderId="1" xfId="7" applyBorder="1"/>
    <xf numFmtId="0" fontId="13" fillId="0" borderId="0" xfId="0" applyFont="1"/>
    <xf numFmtId="164" fontId="4" fillId="0" borderId="0" xfId="0" applyNumberFormat="1" applyFont="1"/>
    <xf numFmtId="164" fontId="10" fillId="0" borderId="0" xfId="0" applyNumberFormat="1" applyFont="1"/>
    <xf numFmtId="165" fontId="0" fillId="0" borderId="0" xfId="2" applyNumberFormat="1" applyFont="1"/>
  </cellXfs>
  <cellStyles count="66">
    <cellStyle name="60% - Accent2" xfId="4" builtinId="36"/>
    <cellStyle name="Accent2" xfId="3" builtinId="33"/>
    <cellStyle name="Accent3" xfId="5" builtinId="37"/>
    <cellStyle name="Accent4" xfId="6" builtinId="41"/>
    <cellStyle name="Accent5" xfId="7" builtinId="45"/>
    <cellStyle name="Comma" xfId="1" builtinId="3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xecutive">
  <a:themeElements>
    <a:clrScheme name="Executive">
      <a:dk1>
        <a:sysClr val="windowText" lastClr="000000"/>
      </a:dk1>
      <a:lt1>
        <a:sysClr val="window" lastClr="FFFFFF"/>
      </a:lt1>
      <a:dk2>
        <a:srgbClr val="2F5897"/>
      </a:dk2>
      <a:lt2>
        <a:srgbClr val="E4E9EF"/>
      </a:lt2>
      <a:accent1>
        <a:srgbClr val="6076B4"/>
      </a:accent1>
      <a:accent2>
        <a:srgbClr val="9C5252"/>
      </a:accent2>
      <a:accent3>
        <a:srgbClr val="E68422"/>
      </a:accent3>
      <a:accent4>
        <a:srgbClr val="846648"/>
      </a:accent4>
      <a:accent5>
        <a:srgbClr val="63891F"/>
      </a:accent5>
      <a:accent6>
        <a:srgbClr val="758085"/>
      </a:accent6>
      <a:hlink>
        <a:srgbClr val="3399FF"/>
      </a:hlink>
      <a:folHlink>
        <a:srgbClr val="B2B2B2"/>
      </a:folHlink>
    </a:clrScheme>
    <a:fontScheme name="Executive">
      <a:majorFont>
        <a:latin typeface="Century Gothic"/>
        <a:ea typeface=""/>
        <a:cs typeface=""/>
        <a:font script="Jpan" typeface="ＭＳ ゴシック"/>
        <a:font script="Hang" typeface="HY중고딕"/>
        <a:font script="Hans" typeface="微软雅黑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Executiv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55"/>
  <sheetViews>
    <sheetView tabSelected="1" zoomScale="125" zoomScaleNormal="125" zoomScalePageLayoutView="125" workbookViewId="0">
      <pane xSplit="10" topLeftCell="K1" activePane="topRight" state="frozen"/>
      <selection pane="topRight" activeCell="J26" sqref="J26:AI28"/>
    </sheetView>
  </sheetViews>
  <sheetFormatPr baseColWidth="10" defaultRowHeight="18" x14ac:dyDescent="0"/>
  <cols>
    <col min="2" max="2" width="13" bestFit="1" customWidth="1"/>
    <col min="4" max="4" width="2.33203125" customWidth="1"/>
    <col min="5" max="8" width="6.83203125" customWidth="1"/>
    <col min="9" max="9" width="6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74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s="5">
        <v>1</v>
      </c>
      <c r="B4" s="25">
        <v>0.33333000000000002</v>
      </c>
      <c r="C4" s="22">
        <f>ypr1/SUM(ypr1,ypr2,ypr3)</f>
        <v>0.39563602410335996</v>
      </c>
      <c r="J4" t="s">
        <v>78</v>
      </c>
      <c r="K4" s="1">
        <f t="shared" ref="K4:AI4" si="0">linf*(1-EXP(-vonbk*age))</f>
        <v>19.793516300140091</v>
      </c>
      <c r="L4" s="1">
        <f t="shared" si="0"/>
        <v>35.598960092080048</v>
      </c>
      <c r="M4" s="1">
        <f t="shared" si="0"/>
        <v>48.219863304633819</v>
      </c>
      <c r="N4" s="1">
        <f t="shared" si="0"/>
        <v>58.297859215250313</v>
      </c>
      <c r="O4" s="1">
        <f t="shared" si="0"/>
        <v>66.345302402468292</v>
      </c>
      <c r="P4" s="1">
        <f t="shared" si="0"/>
        <v>72.771316307006472</v>
      </c>
      <c r="Q4" s="1">
        <f t="shared" si="0"/>
        <v>77.902592631753492</v>
      </c>
      <c r="R4" s="1">
        <f t="shared" si="0"/>
        <v>82</v>
      </c>
      <c r="S4" s="1">
        <f t="shared" si="0"/>
        <v>85.271846238409012</v>
      </c>
      <c r="T4" s="1">
        <f t="shared" si="0"/>
        <v>87.884468525065458</v>
      </c>
      <c r="U4" s="1">
        <f t="shared" si="0"/>
        <v>89.970689794452838</v>
      </c>
      <c r="V4" s="1">
        <f t="shared" si="0"/>
        <v>91.636571313979459</v>
      </c>
      <c r="W4" s="1">
        <f t="shared" si="0"/>
        <v>92.966804725852967</v>
      </c>
      <c r="X4" s="1">
        <f t="shared" si="0"/>
        <v>94.029017679969584</v>
      </c>
      <c r="Y4" s="1">
        <f t="shared" si="0"/>
        <v>94.877211951608004</v>
      </c>
      <c r="Z4" s="1">
        <f t="shared" si="0"/>
        <v>95.554508834170107</v>
      </c>
      <c r="AA4" s="1">
        <f t="shared" si="0"/>
        <v>96.095341379811089</v>
      </c>
      <c r="AB4" s="1">
        <f t="shared" si="0"/>
        <v>96.527204939138343</v>
      </c>
      <c r="AC4" s="1">
        <f t="shared" si="0"/>
        <v>96.872054995552304</v>
      </c>
      <c r="AD4" s="1">
        <f t="shared" si="0"/>
        <v>97.147423358638946</v>
      </c>
      <c r="AE4" s="1">
        <f t="shared" si="0"/>
        <v>97.367309462696838</v>
      </c>
      <c r="AF4" s="1">
        <f t="shared" si="0"/>
        <v>97.542892083066874</v>
      </c>
      <c r="AG4" s="1">
        <f t="shared" si="0"/>
        <v>97.683097653164623</v>
      </c>
      <c r="AH4" s="1">
        <f t="shared" si="0"/>
        <v>97.795054074848096</v>
      </c>
      <c r="AI4" s="1">
        <f t="shared" si="0"/>
        <v>97.884453093356598</v>
      </c>
    </row>
    <row r="5" spans="1:35">
      <c r="A5" s="5">
        <v>2</v>
      </c>
      <c r="B5" s="25">
        <v>0.33333000000000002</v>
      </c>
      <c r="C5" s="22">
        <f>ypr2/SUM(ypr1,ypr2,ypr3)</f>
        <v>0.30389694518316718</v>
      </c>
      <c r="J5" t="s">
        <v>3</v>
      </c>
      <c r="K5" s="9">
        <f t="shared" ref="K5:AI5" si="1">0.00001*len^3</f>
        <v>7.7547688877270149E-2</v>
      </c>
      <c r="L5" s="9">
        <f t="shared" si="1"/>
        <v>0.45114062302389013</v>
      </c>
      <c r="M5" s="9">
        <f t="shared" si="1"/>
        <v>1.1211866673146547</v>
      </c>
      <c r="N5" s="9">
        <f t="shared" si="1"/>
        <v>1.9813345892591618</v>
      </c>
      <c r="O5" s="9">
        <f t="shared" si="1"/>
        <v>2.9203206124948746</v>
      </c>
      <c r="P5" s="9">
        <f t="shared" si="1"/>
        <v>3.8537247471550278</v>
      </c>
      <c r="Q5" s="9">
        <f t="shared" si="1"/>
        <v>4.7277634002826563</v>
      </c>
      <c r="R5" s="9">
        <f t="shared" si="1"/>
        <v>5.5136800000000008</v>
      </c>
      <c r="S5" s="9">
        <f t="shared" si="1"/>
        <v>6.2003613190327593</v>
      </c>
      <c r="T5" s="9">
        <f t="shared" si="1"/>
        <v>6.7879149497799078</v>
      </c>
      <c r="U5" s="9">
        <f t="shared" si="1"/>
        <v>7.2828799393382431</v>
      </c>
      <c r="V5" s="9">
        <f t="shared" si="1"/>
        <v>7.6949622499586763</v>
      </c>
      <c r="W5" s="9">
        <f t="shared" si="1"/>
        <v>8.0349598962254518</v>
      </c>
      <c r="X5" s="9">
        <f t="shared" si="1"/>
        <v>8.3135343813632918</v>
      </c>
      <c r="Y5" s="9">
        <f t="shared" si="1"/>
        <v>8.5405480865639891</v>
      </c>
      <c r="Z5" s="9">
        <f t="shared" si="1"/>
        <v>8.724761289990024</v>
      </c>
      <c r="AA5" s="9">
        <f t="shared" si="1"/>
        <v>8.8737461724953501</v>
      </c>
      <c r="AB5" s="9">
        <f t="shared" si="1"/>
        <v>8.9939235686508034</v>
      </c>
      <c r="AC5" s="9">
        <f t="shared" si="1"/>
        <v>9.0906625791293632</v>
      </c>
      <c r="AD5" s="9">
        <f t="shared" si="1"/>
        <v>9.1684064683953039</v>
      </c>
      <c r="AE5" s="9">
        <f t="shared" si="1"/>
        <v>9.2308035438579932</v>
      </c>
      <c r="AF5" s="9">
        <f t="shared" si="1"/>
        <v>9.2808314179412932</v>
      </c>
      <c r="AG5" s="9">
        <f t="shared" si="1"/>
        <v>9.3209090332404063</v>
      </c>
      <c r="AH5" s="9">
        <f t="shared" si="1"/>
        <v>9.3529943822889159</v>
      </c>
      <c r="AI5" s="9">
        <f t="shared" si="1"/>
        <v>9.3786678620287827</v>
      </c>
    </row>
    <row r="6" spans="1:35">
      <c r="A6" s="5">
        <v>3</v>
      </c>
      <c r="B6" s="25">
        <f>1-SUM(B4:B5)</f>
        <v>0.33333999999999997</v>
      </c>
      <c r="C6" s="22">
        <f>ypr3/SUM(ypr1,ypr2,ypr3)</f>
        <v>0.3004670307134728</v>
      </c>
      <c r="J6" t="s">
        <v>6</v>
      </c>
      <c r="K6" s="1">
        <f t="shared" ref="K6:AH6" si="2">EXP(-M*(age-1))</f>
        <v>1</v>
      </c>
      <c r="L6" s="1">
        <f t="shared" si="2"/>
        <v>0.86070797642505781</v>
      </c>
      <c r="M6" s="1">
        <f t="shared" si="2"/>
        <v>0.74081822068171788</v>
      </c>
      <c r="N6" s="1">
        <f t="shared" si="2"/>
        <v>0.63762815162177333</v>
      </c>
      <c r="O6" s="1">
        <f t="shared" si="2"/>
        <v>0.54881163609402639</v>
      </c>
      <c r="P6" s="1">
        <f t="shared" si="2"/>
        <v>0.47236655274101469</v>
      </c>
      <c r="Q6" s="1">
        <f t="shared" si="2"/>
        <v>0.40656965974059917</v>
      </c>
      <c r="R6" s="1">
        <f t="shared" si="2"/>
        <v>0.34993774911115533</v>
      </c>
      <c r="S6" s="1">
        <f t="shared" si="2"/>
        <v>0.30119421191220214</v>
      </c>
      <c r="T6" s="1">
        <f t="shared" si="2"/>
        <v>0.25924026064589156</v>
      </c>
      <c r="U6" s="1">
        <f t="shared" si="2"/>
        <v>0.22313016014842982</v>
      </c>
      <c r="V6" s="1">
        <f t="shared" si="2"/>
        <v>0.19204990862075413</v>
      </c>
      <c r="W6" s="1">
        <f t="shared" si="2"/>
        <v>0.16529888822158656</v>
      </c>
      <c r="X6" s="1">
        <f t="shared" si="2"/>
        <v>0.14227407158651359</v>
      </c>
      <c r="Y6" s="1">
        <f t="shared" si="2"/>
        <v>0.12245642825298191</v>
      </c>
      <c r="Z6" s="1">
        <f t="shared" si="2"/>
        <v>0.10539922456186433</v>
      </c>
      <c r="AA6" s="1">
        <f t="shared" si="2"/>
        <v>9.0717953289412512E-2</v>
      </c>
      <c r="AB6" s="1">
        <f t="shared" si="2"/>
        <v>7.8081666001153169E-2</v>
      </c>
      <c r="AC6" s="1">
        <f t="shared" si="2"/>
        <v>6.7205512739749784E-2</v>
      </c>
      <c r="AD6" s="1">
        <f t="shared" si="2"/>
        <v>5.7844320874838456E-2</v>
      </c>
      <c r="AE6" s="1">
        <f t="shared" si="2"/>
        <v>4.9787068367863944E-2</v>
      </c>
      <c r="AF6" s="1">
        <f t="shared" si="2"/>
        <v>4.2852126867040187E-2</v>
      </c>
      <c r="AG6" s="1">
        <f t="shared" si="2"/>
        <v>3.6883167401240015E-2</v>
      </c>
      <c r="AH6" s="1">
        <f t="shared" si="2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>spr</f>
        <v>0.40000051882701221</v>
      </c>
      <c r="J7" t="s">
        <v>7</v>
      </c>
      <c r="K7" s="1">
        <f>1</f>
        <v>1</v>
      </c>
      <c r="L7" s="1">
        <f>K7*EXP(-K8)</f>
        <v>0.86057308960200174</v>
      </c>
      <c r="M7" s="1">
        <f t="shared" ref="M7:AH7" si="3">L7*EXP(-L8)</f>
        <v>0.73939817970558985</v>
      </c>
      <c r="N7" s="1">
        <f t="shared" si="3"/>
        <v>0.62884874239651023</v>
      </c>
      <c r="O7" s="1">
        <f t="shared" si="3"/>
        <v>0.52549898329751399</v>
      </c>
      <c r="P7" s="1">
        <f t="shared" si="3"/>
        <v>0.42036182480582646</v>
      </c>
      <c r="Q7" s="1">
        <f t="shared" si="3"/>
        <v>0.32640607439489411</v>
      </c>
      <c r="R7" s="1">
        <f t="shared" si="3"/>
        <v>0.25489462742109098</v>
      </c>
      <c r="S7" s="1">
        <f t="shared" si="3"/>
        <v>0.20079955594513474</v>
      </c>
      <c r="T7" s="1">
        <f t="shared" si="3"/>
        <v>0.15931947209825811</v>
      </c>
      <c r="U7" s="1">
        <f t="shared" si="3"/>
        <v>0.12711682124520829</v>
      </c>
      <c r="V7" s="1">
        <f t="shared" si="3"/>
        <v>0.10186595519367257</v>
      </c>
      <c r="W7" s="1">
        <f t="shared" si="3"/>
        <v>8.190844536067092E-2</v>
      </c>
      <c r="X7" s="1">
        <f t="shared" si="3"/>
        <v>6.6035287197698592E-2</v>
      </c>
      <c r="Y7" s="1">
        <f t="shared" si="3"/>
        <v>5.3347918103601712E-2</v>
      </c>
      <c r="Z7" s="1">
        <f t="shared" si="3"/>
        <v>4.3167338847536742E-2</v>
      </c>
      <c r="AA7" s="1">
        <f t="shared" si="3"/>
        <v>3.4973215605304392E-2</v>
      </c>
      <c r="AB7" s="1">
        <f t="shared" si="3"/>
        <v>2.8362106222463847E-2</v>
      </c>
      <c r="AC7" s="1">
        <f t="shared" si="3"/>
        <v>2.301816339791048E-2</v>
      </c>
      <c r="AD7" s="1">
        <f t="shared" si="3"/>
        <v>1.8692157545656791E-2</v>
      </c>
      <c r="AE7" s="1">
        <f t="shared" si="3"/>
        <v>1.5186166329490922E-2</v>
      </c>
      <c r="AF7" s="1">
        <f t="shared" si="3"/>
        <v>1.2342204323605372E-2</v>
      </c>
      <c r="AG7" s="1">
        <f t="shared" si="3"/>
        <v>1.0033647284112596E-2</v>
      </c>
      <c r="AH7" s="1">
        <f t="shared" si="3"/>
        <v>8.1586762865683594E-3</v>
      </c>
      <c r="AI7" s="1">
        <f>AH7*EXP(-AH8)/(1-EXP(-AI8))</f>
        <v>3.5554304731641229E-2</v>
      </c>
    </row>
    <row r="8" spans="1:35">
      <c r="A8" s="5"/>
      <c r="B8" s="26" t="s">
        <v>50</v>
      </c>
      <c r="C8" s="26">
        <f>SUMXMY2(B4:B7,C4:C7)</f>
        <v>5.8289774654012973E-3</v>
      </c>
      <c r="J8" t="s">
        <v>11</v>
      </c>
      <c r="K8" s="1">
        <f t="shared" ref="K8:AI8" si="4">M+f1_*flt1_ +f2_*flt2_ +f3_*flt3_</f>
        <v>0.15015672841117517</v>
      </c>
      <c r="L8" s="1">
        <f t="shared" si="4"/>
        <v>0.15176196592486912</v>
      </c>
      <c r="M8" s="1">
        <f t="shared" si="4"/>
        <v>0.16194583000145696</v>
      </c>
      <c r="N8" s="1">
        <f t="shared" si="4"/>
        <v>0.17954249906306219</v>
      </c>
      <c r="O8" s="1">
        <f t="shared" si="4"/>
        <v>0.22323242753872738</v>
      </c>
      <c r="P8" s="1">
        <f t="shared" si="4"/>
        <v>0.25297359484758919</v>
      </c>
      <c r="Q8" s="1">
        <f t="shared" si="4"/>
        <v>0.24729199923778269</v>
      </c>
      <c r="R8" s="1">
        <f t="shared" si="4"/>
        <v>0.23854305757095759</v>
      </c>
      <c r="S8" s="1">
        <f t="shared" si="4"/>
        <v>0.23139573154668941</v>
      </c>
      <c r="T8" s="1">
        <f t="shared" si="4"/>
        <v>0.22580492886165227</v>
      </c>
      <c r="U8" s="1">
        <f t="shared" si="4"/>
        <v>0.22144873173361898</v>
      </c>
      <c r="V8" s="1">
        <f t="shared" si="4"/>
        <v>0.21805568074491397</v>
      </c>
      <c r="W8" s="1">
        <f t="shared" si="4"/>
        <v>0.21541284983943096</v>
      </c>
      <c r="X8" s="1">
        <f t="shared" si="4"/>
        <v>0.21335430003654762</v>
      </c>
      <c r="Y8" s="1">
        <f t="shared" si="4"/>
        <v>0.21175078951581186</v>
      </c>
      <c r="Z8" s="1">
        <f t="shared" si="4"/>
        <v>0.21050166400566556</v>
      </c>
      <c r="AA8" s="1">
        <f t="shared" si="4"/>
        <v>0.20952853383121037</v>
      </c>
      <c r="AB8" s="1">
        <f t="shared" si="4"/>
        <v>0.20877034904840072</v>
      </c>
      <c r="AC8" s="1">
        <f t="shared" si="4"/>
        <v>0.20817956391270431</v>
      </c>
      <c r="AD8" s="1">
        <f t="shared" si="4"/>
        <v>0.20771914976102335</v>
      </c>
      <c r="AE8" s="1">
        <f t="shared" si="4"/>
        <v>0.20736026864153909</v>
      </c>
      <c r="AF8" s="1">
        <f t="shared" si="4"/>
        <v>0.20708046153479259</v>
      </c>
      <c r="AG8" s="1">
        <f t="shared" si="4"/>
        <v>0.20686223733884201</v>
      </c>
      <c r="AH8" s="1">
        <f t="shared" si="4"/>
        <v>0.2066919739697981</v>
      </c>
      <c r="AI8" s="1">
        <f t="shared" si="4"/>
        <v>0.20655906253806061</v>
      </c>
    </row>
    <row r="9" spans="1:35">
      <c r="A9" s="12" t="s">
        <v>73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si="5">EXP(-za)</f>
        <v>0.86057308960200174</v>
      </c>
      <c r="L10" s="1">
        <f t="shared" si="5"/>
        <v>0.85919277355924184</v>
      </c>
      <c r="M10" s="1">
        <f t="shared" si="5"/>
        <v>0.85048727418682901</v>
      </c>
      <c r="N10" s="1">
        <f t="shared" si="5"/>
        <v>0.83565243574291703</v>
      </c>
      <c r="O10" s="1">
        <f t="shared" si="5"/>
        <v>0.79992890217988566</v>
      </c>
      <c r="P10" s="1">
        <f t="shared" si="5"/>
        <v>0.77648838484719107</v>
      </c>
      <c r="Q10" s="1">
        <f t="shared" si="5"/>
        <v>0.78091263434243929</v>
      </c>
      <c r="R10" s="1">
        <f t="shared" si="5"/>
        <v>0.78777476785891565</v>
      </c>
      <c r="S10" s="1">
        <f t="shared" si="5"/>
        <v>0.79342542043165476</v>
      </c>
      <c r="T10" s="1">
        <f t="shared" si="5"/>
        <v>0.79787372862251715</v>
      </c>
      <c r="U10" s="1">
        <f t="shared" si="5"/>
        <v>0.80135700527920839</v>
      </c>
      <c r="V10" s="1">
        <f t="shared" si="5"/>
        <v>0.80408066860947358</v>
      </c>
      <c r="W10" s="1">
        <f t="shared" si="5"/>
        <v>0.80620852839927093</v>
      </c>
      <c r="X10" s="1">
        <f t="shared" si="5"/>
        <v>0.80786985818486678</v>
      </c>
      <c r="Y10" s="1">
        <f t="shared" si="5"/>
        <v>0.80916632517328468</v>
      </c>
      <c r="Z10" s="1">
        <f t="shared" si="5"/>
        <v>0.81017770701193148</v>
      </c>
      <c r="AA10" s="1">
        <f t="shared" si="5"/>
        <v>0.81096649912174967</v>
      </c>
      <c r="AB10" s="1">
        <f t="shared" si="5"/>
        <v>0.81158159472935176</v>
      </c>
      <c r="AC10" s="1">
        <f t="shared" si="5"/>
        <v>0.81206120673179383</v>
      </c>
      <c r="AD10" s="1">
        <f t="shared" si="5"/>
        <v>0.81243517728746606</v>
      </c>
      <c r="AE10" s="1">
        <f t="shared" si="5"/>
        <v>0.81272679725872032</v>
      </c>
      <c r="AF10" s="1">
        <f t="shared" si="5"/>
        <v>0.81295423581041426</v>
      </c>
      <c r="AG10" s="1">
        <f t="shared" si="5"/>
        <v>0.81313166145344873</v>
      </c>
      <c r="AH10" s="1">
        <f t="shared" si="5"/>
        <v>0.8132701197764598</v>
      </c>
      <c r="AI10" s="1">
        <f t="shared" si="5"/>
        <v>0.81337821985617764</v>
      </c>
    </row>
    <row r="11" spans="1:35">
      <c r="A11" s="5">
        <v>1</v>
      </c>
      <c r="B11" s="25">
        <v>0.33333000000000002</v>
      </c>
      <c r="C11" s="18">
        <f>mpr1_/SUM(mpr1_,mpr2_,mpr3_)</f>
        <v>0.33333012799501488</v>
      </c>
      <c r="J11" t="s">
        <v>56</v>
      </c>
      <c r="K11" s="1">
        <f>1-sa</f>
        <v>0.13942691039799826</v>
      </c>
      <c r="L11" s="1">
        <f t="shared" ref="L11:AI11" si="6">1-sa</f>
        <v>0.14080722644075816</v>
      </c>
      <c r="M11" s="1">
        <f t="shared" si="6"/>
        <v>0.14951272581317099</v>
      </c>
      <c r="N11" s="1">
        <f t="shared" si="6"/>
        <v>0.16434756425708297</v>
      </c>
      <c r="O11" s="1">
        <f t="shared" si="6"/>
        <v>0.20007109782011434</v>
      </c>
      <c r="P11" s="1">
        <f t="shared" si="6"/>
        <v>0.22351161515280893</v>
      </c>
      <c r="Q11" s="1">
        <f t="shared" si="6"/>
        <v>0.21908736565756071</v>
      </c>
      <c r="R11" s="1">
        <f t="shared" si="6"/>
        <v>0.21222523214108435</v>
      </c>
      <c r="S11" s="1">
        <f t="shared" si="6"/>
        <v>0.20657457956834524</v>
      </c>
      <c r="T11" s="1">
        <f t="shared" si="6"/>
        <v>0.20212627137748285</v>
      </c>
      <c r="U11" s="1">
        <f t="shared" si="6"/>
        <v>0.19864299472079161</v>
      </c>
      <c r="V11" s="1">
        <f t="shared" si="6"/>
        <v>0.19591933139052642</v>
      </c>
      <c r="W11" s="1">
        <f t="shared" si="6"/>
        <v>0.19379147160072907</v>
      </c>
      <c r="X11" s="1">
        <f t="shared" si="6"/>
        <v>0.19213014181513322</v>
      </c>
      <c r="Y11" s="1">
        <f t="shared" si="6"/>
        <v>0.19083367482671532</v>
      </c>
      <c r="Z11" s="1">
        <f t="shared" si="6"/>
        <v>0.18982229298806852</v>
      </c>
      <c r="AA11" s="1">
        <f t="shared" si="6"/>
        <v>0.18903350087825033</v>
      </c>
      <c r="AB11" s="1">
        <f t="shared" si="6"/>
        <v>0.18841840527064824</v>
      </c>
      <c r="AC11" s="1">
        <f t="shared" si="6"/>
        <v>0.18793879326820617</v>
      </c>
      <c r="AD11" s="1">
        <f t="shared" si="6"/>
        <v>0.18756482271253394</v>
      </c>
      <c r="AE11" s="1">
        <f t="shared" si="6"/>
        <v>0.18727320274127968</v>
      </c>
      <c r="AF11" s="1">
        <f t="shared" si="6"/>
        <v>0.18704576418958574</v>
      </c>
      <c r="AG11" s="1">
        <f t="shared" si="6"/>
        <v>0.18686833854655127</v>
      </c>
      <c r="AH11" s="1">
        <f t="shared" si="6"/>
        <v>0.1867298802235402</v>
      </c>
      <c r="AI11" s="1">
        <f t="shared" si="6"/>
        <v>0.18662178014382236</v>
      </c>
    </row>
    <row r="12" spans="1:35">
      <c r="A12" s="5">
        <v>2</v>
      </c>
      <c r="B12" s="25">
        <v>0.33333000000000002</v>
      </c>
      <c r="C12" s="18">
        <f>mpr2_/SUM(mpr1_,mpr2_,mpr3_)</f>
        <v>0.33332997313487034</v>
      </c>
      <c r="J12" t="s">
        <v>83</v>
      </c>
      <c r="K12">
        <f t="shared" ref="K12:AI12" si="7">1/(1+EXP(($E18-len)/2.5))</f>
        <v>0.99963578667333364</v>
      </c>
      <c r="L12">
        <f t="shared" si="7"/>
        <v>0.99999934562463089</v>
      </c>
      <c r="M12">
        <f t="shared" si="7"/>
        <v>0.99999999579900867</v>
      </c>
      <c r="N12">
        <f t="shared" si="7"/>
        <v>0.99999999992541966</v>
      </c>
      <c r="O12">
        <f t="shared" si="7"/>
        <v>0.99999999999701705</v>
      </c>
      <c r="P12">
        <f t="shared" si="7"/>
        <v>0.99999999999977174</v>
      </c>
      <c r="Q12">
        <f t="shared" si="7"/>
        <v>0.99999999999997069</v>
      </c>
      <c r="R12">
        <f t="shared" si="7"/>
        <v>0.99999999999999423</v>
      </c>
      <c r="S12">
        <f t="shared" si="7"/>
        <v>0.99999999999999845</v>
      </c>
      <c r="T12">
        <f t="shared" si="7"/>
        <v>0.99999999999999956</v>
      </c>
      <c r="U12">
        <f t="shared" si="7"/>
        <v>0.99999999999999978</v>
      </c>
      <c r="V12">
        <f t="shared" si="7"/>
        <v>0.99999999999999978</v>
      </c>
      <c r="W12">
        <f t="shared" si="7"/>
        <v>1</v>
      </c>
      <c r="X12">
        <f t="shared" si="7"/>
        <v>1</v>
      </c>
      <c r="Y12">
        <f t="shared" si="7"/>
        <v>1</v>
      </c>
      <c r="Z12">
        <f t="shared" si="7"/>
        <v>1</v>
      </c>
      <c r="AA12">
        <f t="shared" si="7"/>
        <v>1</v>
      </c>
      <c r="AB12">
        <f t="shared" si="7"/>
        <v>1</v>
      </c>
      <c r="AC12">
        <f t="shared" si="7"/>
        <v>1</v>
      </c>
      <c r="AD12">
        <f t="shared" si="7"/>
        <v>1</v>
      </c>
      <c r="AE12">
        <f t="shared" si="7"/>
        <v>1</v>
      </c>
      <c r="AF12">
        <f t="shared" si="7"/>
        <v>1</v>
      </c>
      <c r="AG12">
        <f t="shared" si="7"/>
        <v>1</v>
      </c>
      <c r="AH12">
        <f t="shared" si="7"/>
        <v>1</v>
      </c>
      <c r="AI12">
        <f t="shared" si="7"/>
        <v>1</v>
      </c>
    </row>
    <row r="13" spans="1:35">
      <c r="A13" s="5">
        <v>3</v>
      </c>
      <c r="B13" s="25">
        <f>1-SUM(B11:B12)</f>
        <v>0.33333999999999997</v>
      </c>
      <c r="C13" s="18">
        <f>mpr3_/SUM(mpr1_,mpr2_,mpr3_)</f>
        <v>0.33333989887011478</v>
      </c>
    </row>
    <row r="14" spans="1:35">
      <c r="A14" s="27" t="s">
        <v>49</v>
      </c>
      <c r="B14" s="30">
        <v>0.4</v>
      </c>
      <c r="C14" s="29">
        <f>spr</f>
        <v>0.40000051882701221</v>
      </c>
    </row>
    <row r="15" spans="1:35">
      <c r="A15" s="5"/>
      <c r="B15" s="26" t="s">
        <v>50</v>
      </c>
      <c r="C15" s="26">
        <f>SUMXMY2(B11:B14,C11:C14)</f>
        <v>2.9651318127465511E-13</v>
      </c>
    </row>
    <row r="17" spans="1:35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t="s">
        <v>20</v>
      </c>
      <c r="B18">
        <v>100</v>
      </c>
      <c r="E18">
        <v>0</v>
      </c>
      <c r="F18">
        <v>0</v>
      </c>
      <c r="G18" s="3">
        <v>5</v>
      </c>
      <c r="H18" s="3">
        <v>0.4</v>
      </c>
      <c r="I18" s="7">
        <v>1.0000000000000001E-5</v>
      </c>
      <c r="J18" s="8" t="s">
        <v>16</v>
      </c>
      <c r="K18" s="4">
        <f t="shared" ref="K18:AI18" si="8">((EXP(g*(ah-age)/gh)/(1+EXP((ah-age)/gh))) *(1/(1-g))*((1-g)/g)^g) *(sr+(1-sr)*dmr)</f>
        <v>4.5391552007444657E-5</v>
      </c>
      <c r="L18" s="4">
        <f t="shared" si="8"/>
        <v>5.5288891334603083E-4</v>
      </c>
      <c r="M18" s="4">
        <f t="shared" si="8"/>
        <v>6.6940231124641893E-3</v>
      </c>
      <c r="N18" s="4">
        <f t="shared" si="8"/>
        <v>7.5869569398736056E-2</v>
      </c>
      <c r="O18" s="4">
        <f t="shared" si="8"/>
        <v>0.50006256851532582</v>
      </c>
      <c r="P18" s="4">
        <f t="shared" si="8"/>
        <v>0.92423435819677513</v>
      </c>
      <c r="Q18" s="4">
        <f t="shared" si="8"/>
        <v>0.99338177825514906</v>
      </c>
      <c r="R18" s="4">
        <f t="shared" si="8"/>
        <v>0.99949732411316172</v>
      </c>
      <c r="S18" s="4">
        <f t="shared" si="8"/>
        <v>0.99997973051085998</v>
      </c>
      <c r="T18" s="4">
        <f t="shared" si="8"/>
        <v>0.99999640256489186</v>
      </c>
      <c r="U18" s="4">
        <f t="shared" si="8"/>
        <v>0.99997482361930579</v>
      </c>
      <c r="V18" s="4">
        <f t="shared" si="8"/>
        <v>0.99995010533943796</v>
      </c>
      <c r="W18" s="4">
        <f t="shared" si="8"/>
        <v>0.99992512994639815</v>
      </c>
      <c r="X18" s="4">
        <f t="shared" si="8"/>
        <v>0.99990013402239852</v>
      </c>
      <c r="Y18" s="4">
        <f t="shared" si="8"/>
        <v>0.99987513698679642</v>
      </c>
      <c r="Z18" s="4">
        <f t="shared" si="8"/>
        <v>0.99985014043357634</v>
      </c>
      <c r="AA18" s="4">
        <f t="shared" si="8"/>
        <v>0.9998251444935623</v>
      </c>
      <c r="AB18" s="4">
        <f t="shared" si="8"/>
        <v>0.99980014917747839</v>
      </c>
      <c r="AC18" s="4">
        <f t="shared" si="8"/>
        <v>0.99977515448619114</v>
      </c>
      <c r="AD18" s="4">
        <f t="shared" si="8"/>
        <v>0.99975016041975662</v>
      </c>
      <c r="AE18" s="4">
        <f t="shared" si="8"/>
        <v>0.9997251669781656</v>
      </c>
      <c r="AF18" s="4">
        <f t="shared" si="8"/>
        <v>0.99970017416140255</v>
      </c>
      <c r="AG18" s="4">
        <f t="shared" si="8"/>
        <v>0.99967518196945226</v>
      </c>
      <c r="AH18" s="4">
        <f t="shared" si="8"/>
        <v>0.99965019040229885</v>
      </c>
      <c r="AI18" s="4">
        <f t="shared" si="8"/>
        <v>0.99962519945992701</v>
      </c>
    </row>
    <row r="19" spans="1:35">
      <c r="A19" t="s">
        <v>21</v>
      </c>
      <c r="B19">
        <v>12</v>
      </c>
      <c r="E19">
        <v>0</v>
      </c>
      <c r="F19">
        <v>0</v>
      </c>
      <c r="G19" s="3">
        <v>5</v>
      </c>
      <c r="H19" s="3">
        <v>0.4</v>
      </c>
      <c r="I19" s="7">
        <v>0.1</v>
      </c>
      <c r="J19" s="8" t="s">
        <v>17</v>
      </c>
      <c r="K19" s="4">
        <f t="shared" ref="K19:T20" si="9">(EXP(g*(ah-age)/gh)/(1+EXP((ah-age)/gh))) *(1/(1-g))*((1-g)/g)^g</f>
        <v>1.7080936882517058E-4</v>
      </c>
      <c r="L19" s="4">
        <f t="shared" si="9"/>
        <v>1.6197718741430404E-3</v>
      </c>
      <c r="M19" s="4">
        <f t="shared" si="9"/>
        <v>1.5273555035428247E-2</v>
      </c>
      <c r="N19" s="4">
        <f t="shared" si="9"/>
        <v>0.13482107352952133</v>
      </c>
      <c r="O19" s="4">
        <f t="shared" si="9"/>
        <v>0.69207274423084297</v>
      </c>
      <c r="P19" s="4">
        <f t="shared" si="9"/>
        <v>0.99620047562768743</v>
      </c>
      <c r="Q19" s="4">
        <f t="shared" si="9"/>
        <v>0.83390784936379725</v>
      </c>
      <c r="R19" s="4">
        <f t="shared" si="9"/>
        <v>0.65346261291899299</v>
      </c>
      <c r="S19" s="4">
        <f t="shared" si="9"/>
        <v>0.50917555226094868</v>
      </c>
      <c r="T19" s="4">
        <f t="shared" si="9"/>
        <v>0.39656284414448295</v>
      </c>
      <c r="U19" s="4">
        <f t="shared" ref="U19:AI20" si="10">(EXP(g*(ah-age)/gh)/(1+EXP((ah-age)/gh))) *(1/(1-g))*((1-g)/g)^g</f>
        <v>0.30884451003293029</v>
      </c>
      <c r="V19" s="4">
        <f t="shared" si="10"/>
        <v>0.24052841379946335</v>
      </c>
      <c r="W19" s="4">
        <f t="shared" si="10"/>
        <v>0.18732372133553893</v>
      </c>
      <c r="X19" s="4">
        <f t="shared" si="10"/>
        <v>0.14588786113998189</v>
      </c>
      <c r="Y19" s="4">
        <f t="shared" si="10"/>
        <v>0.11361758051407532</v>
      </c>
      <c r="Z19" s="4">
        <f t="shared" si="10"/>
        <v>8.8485460676168262E-2</v>
      </c>
      <c r="AA19" s="4">
        <f t="shared" si="10"/>
        <v>6.8912546065105926E-2</v>
      </c>
      <c r="AB19" s="4">
        <f t="shared" si="10"/>
        <v>5.3669144838953381E-2</v>
      </c>
      <c r="AC19" s="4">
        <f t="shared" si="10"/>
        <v>4.1797572027349829E-2</v>
      </c>
      <c r="AD19" s="4">
        <f t="shared" si="10"/>
        <v>3.2551981825383519E-2</v>
      </c>
      <c r="AE19" s="4">
        <f t="shared" si="10"/>
        <v>2.5351508936134821E-2</v>
      </c>
      <c r="AF19" s="4">
        <f t="shared" si="10"/>
        <v>1.9743775011503522E-2</v>
      </c>
      <c r="AG19" s="4">
        <f t="shared" si="10"/>
        <v>1.5376467439744577E-2</v>
      </c>
      <c r="AH19" s="4">
        <f t="shared" si="10"/>
        <v>1.1975204882945036E-2</v>
      </c>
      <c r="AI19" s="4">
        <f t="shared" si="10"/>
        <v>9.3262989402781056E-3</v>
      </c>
    </row>
    <row r="20" spans="1:35">
      <c r="A20" t="s">
        <v>5</v>
      </c>
      <c r="B20">
        <v>0.15</v>
      </c>
      <c r="E20">
        <v>0</v>
      </c>
      <c r="F20">
        <v>0</v>
      </c>
      <c r="G20" s="3">
        <v>3</v>
      </c>
      <c r="H20" s="3">
        <v>0.4</v>
      </c>
      <c r="I20" s="7">
        <v>1.0000000000000001E-5</v>
      </c>
      <c r="J20" s="8" t="s">
        <v>18</v>
      </c>
      <c r="K20" s="4">
        <f t="shared" si="9"/>
        <v>6.6940231405857222E-3</v>
      </c>
      <c r="L20" s="4">
        <f t="shared" si="9"/>
        <v>7.5869569404394432E-2</v>
      </c>
      <c r="M20" s="4">
        <f t="shared" si="9"/>
        <v>0.50006256851681752</v>
      </c>
      <c r="N20" s="4">
        <f t="shared" si="9"/>
        <v>0.92423435819698607</v>
      </c>
      <c r="O20" s="4">
        <f t="shared" si="9"/>
        <v>0.99338177825517815</v>
      </c>
      <c r="P20" s="4">
        <f t="shared" si="9"/>
        <v>0.9994973241131675</v>
      </c>
      <c r="Q20" s="4">
        <f t="shared" si="9"/>
        <v>0.99997973051086153</v>
      </c>
      <c r="R20" s="4">
        <f t="shared" si="9"/>
        <v>0.99999640256489231</v>
      </c>
      <c r="S20" s="4">
        <f t="shared" si="9"/>
        <v>0.99997482361930601</v>
      </c>
      <c r="T20" s="4">
        <f t="shared" si="9"/>
        <v>0.99995010533943818</v>
      </c>
      <c r="U20" s="4">
        <f t="shared" si="10"/>
        <v>0.99992512994639815</v>
      </c>
      <c r="V20" s="4">
        <f t="shared" si="10"/>
        <v>0.99990013402239852</v>
      </c>
      <c r="W20" s="4">
        <f t="shared" si="10"/>
        <v>0.99987513698679642</v>
      </c>
      <c r="X20" s="4">
        <f t="shared" si="10"/>
        <v>0.99985014043357634</v>
      </c>
      <c r="Y20" s="4">
        <f t="shared" si="10"/>
        <v>0.9998251444935623</v>
      </c>
      <c r="Z20" s="4">
        <f t="shared" si="10"/>
        <v>0.99980014917747839</v>
      </c>
      <c r="AA20" s="4">
        <f t="shared" si="10"/>
        <v>0.99977515448619114</v>
      </c>
      <c r="AB20" s="4">
        <f t="shared" si="10"/>
        <v>0.99975016041975662</v>
      </c>
      <c r="AC20" s="4">
        <f t="shared" si="10"/>
        <v>0.9997251669781656</v>
      </c>
      <c r="AD20" s="4">
        <f t="shared" si="10"/>
        <v>0.99970017416140255</v>
      </c>
      <c r="AE20" s="4">
        <f t="shared" si="10"/>
        <v>0.99967518196945226</v>
      </c>
      <c r="AF20" s="4">
        <f t="shared" si="10"/>
        <v>0.99965019040229885</v>
      </c>
      <c r="AG20" s="4">
        <f t="shared" si="10"/>
        <v>0.99962519945992701</v>
      </c>
      <c r="AH20" s="4">
        <f t="shared" si="10"/>
        <v>0.99960020914232062</v>
      </c>
      <c r="AI20" s="4">
        <f t="shared" si="10"/>
        <v>0.99957521944946459</v>
      </c>
    </row>
    <row r="21" spans="1:35">
      <c r="A21" t="s">
        <v>42</v>
      </c>
      <c r="B21" s="1">
        <f>Bo/phie</f>
        <v>8.2438682882849061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t="s">
        <v>79</v>
      </c>
      <c r="B22" s="1">
        <v>98.238757374230488</v>
      </c>
      <c r="J22" s="8" t="s">
        <v>23</v>
      </c>
      <c r="K22" s="1">
        <f t="shared" ref="K22:AI22" si="11">wa*flt1_*(1-EXP(-za))/za</f>
        <v>3.2684789917331903E-6</v>
      </c>
      <c r="L22" s="1">
        <f t="shared" si="11"/>
        <v>2.3142582291302424E-4</v>
      </c>
      <c r="M22" s="1">
        <f t="shared" si="11"/>
        <v>6.9290472333794831E-3</v>
      </c>
      <c r="N22" s="1">
        <f t="shared" si="11"/>
        <v>0.13760095453428825</v>
      </c>
      <c r="O22" s="1">
        <f t="shared" si="11"/>
        <v>1.3088261221797362</v>
      </c>
      <c r="P22" s="1">
        <f t="shared" si="11"/>
        <v>3.1469345154068171</v>
      </c>
      <c r="Q22" s="1">
        <f t="shared" si="11"/>
        <v>4.1608225204271179</v>
      </c>
      <c r="R22" s="1">
        <f t="shared" si="11"/>
        <v>4.9029044386552956</v>
      </c>
      <c r="S22" s="1">
        <f t="shared" si="11"/>
        <v>5.5351542665784486</v>
      </c>
      <c r="T22" s="1">
        <f t="shared" si="11"/>
        <v>6.0760897045289521</v>
      </c>
      <c r="U22" s="1">
        <f t="shared" si="11"/>
        <v>6.5326933576054422</v>
      </c>
      <c r="V22" s="1">
        <f t="shared" si="11"/>
        <v>6.9134481300979882</v>
      </c>
      <c r="W22" s="1">
        <f t="shared" si="11"/>
        <v>7.2279352092536318</v>
      </c>
      <c r="X22" s="1">
        <f t="shared" si="11"/>
        <v>7.4857690959128993</v>
      </c>
      <c r="Y22" s="1">
        <f t="shared" si="11"/>
        <v>7.6959366969157594</v>
      </c>
      <c r="Z22" s="1">
        <f t="shared" si="11"/>
        <v>7.8664746481313204</v>
      </c>
      <c r="AA22" s="1">
        <f t="shared" si="11"/>
        <v>8.0043608640103887</v>
      </c>
      <c r="AB22" s="1">
        <f t="shared" si="11"/>
        <v>8.1155301617594482</v>
      </c>
      <c r="AC22" s="1">
        <f t="shared" si="11"/>
        <v>8.204955266162397</v>
      </c>
      <c r="AD22" s="1">
        <f t="shared" si="11"/>
        <v>8.2767568325532075</v>
      </c>
      <c r="AE22" s="1">
        <f t="shared" si="11"/>
        <v>8.3343210149099054</v>
      </c>
      <c r="AF22" s="1">
        <f t="shared" si="11"/>
        <v>8.3804126777276142</v>
      </c>
      <c r="AG22" s="1">
        <f t="shared" si="11"/>
        <v>8.4172783043009094</v>
      </c>
      <c r="AH22" s="1">
        <f t="shared" si="11"/>
        <v>8.4467362254403771</v>
      </c>
      <c r="AI22" s="1">
        <f t="shared" si="11"/>
        <v>8.4702538369147184</v>
      </c>
    </row>
    <row r="23" spans="1:35">
      <c r="A23" t="s">
        <v>80</v>
      </c>
      <c r="B23" s="1">
        <f>1.5*M</f>
        <v>0.22499999999999998</v>
      </c>
      <c r="J23" s="8" t="s">
        <v>24</v>
      </c>
      <c r="K23" s="1">
        <f t="shared" ref="K23:AI23" si="12">wa*flt2_*(1-EXP(-za))/za</f>
        <v>1.2299355472681606E-5</v>
      </c>
      <c r="L23" s="1">
        <f t="shared" si="12"/>
        <v>6.7799702590584719E-4</v>
      </c>
      <c r="M23" s="1">
        <f t="shared" si="12"/>
        <v>1.5809802637975209E-2</v>
      </c>
      <c r="N23" s="1">
        <f t="shared" si="12"/>
        <v>0.24451843546786561</v>
      </c>
      <c r="O23" s="1">
        <f t="shared" si="12"/>
        <v>1.8113791015937277</v>
      </c>
      <c r="P23" s="1">
        <f t="shared" si="12"/>
        <v>3.3919726454813324</v>
      </c>
      <c r="Q23" s="1">
        <f t="shared" si="12"/>
        <v>3.4928590754788664</v>
      </c>
      <c r="R23" s="1">
        <f t="shared" si="12"/>
        <v>3.2054760608974684</v>
      </c>
      <c r="S23" s="1">
        <f t="shared" si="12"/>
        <v>2.8184223585160164</v>
      </c>
      <c r="T23" s="1">
        <f t="shared" si="12"/>
        <v>2.4095600827410495</v>
      </c>
      <c r="U23" s="1">
        <f t="shared" si="12"/>
        <v>2.0176372760291952</v>
      </c>
      <c r="V23" s="1">
        <f t="shared" si="12"/>
        <v>1.6629636856259564</v>
      </c>
      <c r="W23" s="1">
        <f t="shared" si="12"/>
        <v>1.354065099896167</v>
      </c>
      <c r="X23" s="1">
        <f t="shared" si="12"/>
        <v>1.0921919152038491</v>
      </c>
      <c r="Y23" s="1">
        <f t="shared" si="12"/>
        <v>0.87450290036024758</v>
      </c>
      <c r="Z23" s="1">
        <f t="shared" si="12"/>
        <v>0.69617296131543727</v>
      </c>
      <c r="AA23" s="1">
        <f t="shared" si="12"/>
        <v>0.5516973540830955</v>
      </c>
      <c r="AB23" s="1">
        <f t="shared" si="12"/>
        <v>0.43564062683395921</v>
      </c>
      <c r="AC23" s="1">
        <f t="shared" si="12"/>
        <v>0.34302433620172834</v>
      </c>
      <c r="AD23" s="1">
        <f t="shared" si="12"/>
        <v>0.269492167796472</v>
      </c>
      <c r="AE23" s="1">
        <f t="shared" si="12"/>
        <v>0.21134569846306495</v>
      </c>
      <c r="AF23" s="1">
        <f t="shared" si="12"/>
        <v>0.16551060676907708</v>
      </c>
      <c r="AG23" s="1">
        <f t="shared" si="12"/>
        <v>0.12947005998725133</v>
      </c>
      <c r="AH23" s="1">
        <f t="shared" si="12"/>
        <v>0.10118679300319544</v>
      </c>
      <c r="AI23" s="1">
        <f t="shared" si="12"/>
        <v>7.9025738272488488E-2</v>
      </c>
    </row>
    <row r="24" spans="1:35">
      <c r="B24" s="1"/>
      <c r="J24" s="8" t="s">
        <v>25</v>
      </c>
      <c r="K24" s="1">
        <f t="shared" ref="K24:AI24" si="13">wa*flt3_*(1-EXP(-za))/za</f>
        <v>4.8201202729511986E-4</v>
      </c>
      <c r="L24" s="1">
        <f t="shared" si="13"/>
        <v>3.1757152494175316E-2</v>
      </c>
      <c r="M24" s="1">
        <f t="shared" si="13"/>
        <v>0.51761953890574186</v>
      </c>
      <c r="N24" s="1">
        <f t="shared" si="13"/>
        <v>1.6762389836815026</v>
      </c>
      <c r="O24" s="1">
        <f t="shared" si="13"/>
        <v>2.6000026847398168</v>
      </c>
      <c r="P24" s="1">
        <f t="shared" si="13"/>
        <v>3.4031981168122902</v>
      </c>
      <c r="Q24" s="1">
        <f t="shared" si="13"/>
        <v>4.1884583286684292</v>
      </c>
      <c r="R24" s="1">
        <f t="shared" si="13"/>
        <v>4.9053526032448289</v>
      </c>
      <c r="S24" s="1">
        <f t="shared" si="13"/>
        <v>5.5351271056261897</v>
      </c>
      <c r="T24" s="1">
        <f t="shared" si="13"/>
        <v>6.0758083974220405</v>
      </c>
      <c r="U24" s="1">
        <f t="shared" si="13"/>
        <v>6.5323687159052195</v>
      </c>
      <c r="V24" s="1">
        <f t="shared" si="13"/>
        <v>6.9131026387514698</v>
      </c>
      <c r="W24" s="1">
        <f t="shared" si="13"/>
        <v>7.2275738363247006</v>
      </c>
      <c r="X24" s="1">
        <f t="shared" si="13"/>
        <v>7.4853948180730772</v>
      </c>
      <c r="Y24" s="1">
        <f t="shared" si="13"/>
        <v>7.6955519098068308</v>
      </c>
      <c r="Z24" s="1">
        <f t="shared" si="13"/>
        <v>7.8660813342407474</v>
      </c>
      <c r="AA24" s="1">
        <f t="shared" si="13"/>
        <v>8.0039606559732164</v>
      </c>
      <c r="AB24" s="1">
        <f t="shared" si="13"/>
        <v>8.1151243953956662</v>
      </c>
      <c r="AC24" s="1">
        <f t="shared" si="13"/>
        <v>8.2045450286551169</v>
      </c>
      <c r="AD24" s="1">
        <f t="shared" si="13"/>
        <v>8.2763430050573525</v>
      </c>
      <c r="AE24" s="1">
        <f t="shared" si="13"/>
        <v>8.3339043092768836</v>
      </c>
      <c r="AF24" s="1">
        <f t="shared" si="13"/>
        <v>8.3799936675690709</v>
      </c>
      <c r="AG24" s="1">
        <f t="shared" si="13"/>
        <v>8.4168574509071163</v>
      </c>
      <c r="AH24" s="1">
        <f t="shared" si="13"/>
        <v>8.4463138991873503</v>
      </c>
      <c r="AI24" s="1">
        <f t="shared" si="13"/>
        <v>8.4698303348105117</v>
      </c>
    </row>
    <row r="25" spans="1:35">
      <c r="J25" s="2" t="s">
        <v>29</v>
      </c>
    </row>
    <row r="26" spans="1:35">
      <c r="A26" s="14" t="s">
        <v>13</v>
      </c>
      <c r="B26" s="14"/>
      <c r="C26" s="14"/>
      <c r="J26" s="8" t="s">
        <v>30</v>
      </c>
      <c r="K26">
        <f>qa1_/wa</f>
        <v>4.2147987116753491E-5</v>
      </c>
      <c r="L26">
        <f t="shared" ref="L26:AI26" si="14">qa1_/wa</f>
        <v>5.1297934857169603E-4</v>
      </c>
      <c r="M26">
        <f t="shared" si="14"/>
        <v>6.1801013474189715E-3</v>
      </c>
      <c r="N26">
        <f t="shared" si="14"/>
        <v>6.9448620783296597E-2</v>
      </c>
      <c r="O26">
        <f t="shared" si="14"/>
        <v>0.44817891452732855</v>
      </c>
      <c r="P26">
        <f t="shared" si="14"/>
        <v>0.81659555932997263</v>
      </c>
      <c r="Q26">
        <f t="shared" si="14"/>
        <v>0.88008264545944859</v>
      </c>
      <c r="R26">
        <f t="shared" si="14"/>
        <v>0.8892254245177984</v>
      </c>
      <c r="S26">
        <f t="shared" si="14"/>
        <v>0.89271479221503158</v>
      </c>
      <c r="T26">
        <f t="shared" si="14"/>
        <v>0.89513344664490291</v>
      </c>
      <c r="U26">
        <f t="shared" si="14"/>
        <v>0.89699314172671007</v>
      </c>
      <c r="V26">
        <f t="shared" si="14"/>
        <v>0.8984382126286734</v>
      </c>
      <c r="W26">
        <f t="shared" si="14"/>
        <v>0.89956083198984815</v>
      </c>
      <c r="X26">
        <f t="shared" si="14"/>
        <v>0.90043160375856268</v>
      </c>
      <c r="Y26">
        <f t="shared" si="14"/>
        <v>0.90110571580564314</v>
      </c>
      <c r="Z26">
        <f t="shared" si="14"/>
        <v>0.90162634674676756</v>
      </c>
      <c r="AA26">
        <f t="shared" si="14"/>
        <v>0.90202725077040546</v>
      </c>
      <c r="AB26">
        <f t="shared" si="14"/>
        <v>0.90233479302035868</v>
      </c>
      <c r="AC26">
        <f t="shared" si="14"/>
        <v>0.90256955362083269</v>
      </c>
      <c r="AD26">
        <f t="shared" si="14"/>
        <v>0.90274758880774653</v>
      </c>
      <c r="AE26">
        <f t="shared" si="14"/>
        <v>0.9028814203781218</v>
      </c>
      <c r="AF26">
        <f t="shared" si="14"/>
        <v>0.90298081069837888</v>
      </c>
      <c r="AG26">
        <f t="shared" si="14"/>
        <v>0.90305336896680877</v>
      </c>
      <c r="AH26">
        <f t="shared" si="14"/>
        <v>0.90310502499983814</v>
      </c>
      <c r="AI26">
        <f t="shared" si="14"/>
        <v>0.90314039920403399</v>
      </c>
    </row>
    <row r="27" spans="1:35">
      <c r="A27" t="s">
        <v>14</v>
      </c>
      <c r="B27" s="28">
        <v>3.420373425819738E-2</v>
      </c>
      <c r="C27" s="36">
        <v>0.90209129860381354</v>
      </c>
      <c r="J27" s="8" t="s">
        <v>31</v>
      </c>
      <c r="K27">
        <f t="shared" ref="K27:AI27" si="15">qa2_/wa</f>
        <v>1.5860376564086936E-4</v>
      </c>
      <c r="L27">
        <f t="shared" si="15"/>
        <v>1.5028507549628132E-3</v>
      </c>
      <c r="M27">
        <f t="shared" si="15"/>
        <v>1.4100954906858768E-2</v>
      </c>
      <c r="N27">
        <f t="shared" si="15"/>
        <v>0.12341097601253365</v>
      </c>
      <c r="O27">
        <f t="shared" si="15"/>
        <v>0.62026720417051706</v>
      </c>
      <c r="P27">
        <f t="shared" si="15"/>
        <v>0.88018031074622571</v>
      </c>
      <c r="Q27">
        <f t="shared" si="15"/>
        <v>0.73879735082979003</v>
      </c>
      <c r="R27">
        <f t="shared" si="15"/>
        <v>0.58136780895834872</v>
      </c>
      <c r="S27">
        <f t="shared" si="15"/>
        <v>0.45455776099120676</v>
      </c>
      <c r="T27">
        <f t="shared" si="15"/>
        <v>0.35497794250046949</v>
      </c>
      <c r="U27">
        <f t="shared" si="15"/>
        <v>0.27703838218326132</v>
      </c>
      <c r="V27">
        <f t="shared" si="15"/>
        <v>0.21611070095046755</v>
      </c>
      <c r="W27">
        <f t="shared" si="15"/>
        <v>0.16852169984473231</v>
      </c>
      <c r="X27">
        <f t="shared" si="15"/>
        <v>0.13137516068403465</v>
      </c>
      <c r="Y27">
        <f t="shared" si="15"/>
        <v>0.10239423647014149</v>
      </c>
      <c r="Z27">
        <f t="shared" si="15"/>
        <v>7.9792780361127025E-2</v>
      </c>
      <c r="AA27">
        <f t="shared" si="15"/>
        <v>6.2171865563735738E-2</v>
      </c>
      <c r="AB27">
        <f t="shared" si="15"/>
        <v>4.8437216917478265E-2</v>
      </c>
      <c r="AC27">
        <f t="shared" si="15"/>
        <v>3.7733700180364704E-2</v>
      </c>
      <c r="AD27">
        <f t="shared" si="15"/>
        <v>2.9393566780164769E-2</v>
      </c>
      <c r="AE27">
        <f t="shared" si="15"/>
        <v>2.2895698891099301E-2</v>
      </c>
      <c r="AF27">
        <f t="shared" si="15"/>
        <v>1.7833596939291374E-2</v>
      </c>
      <c r="AG27">
        <f t="shared" si="15"/>
        <v>1.3890282538487684E-2</v>
      </c>
      <c r="AH27">
        <f t="shared" si="15"/>
        <v>1.0818652173554761E-2</v>
      </c>
      <c r="AI27">
        <f t="shared" si="15"/>
        <v>8.4261154606442932E-3</v>
      </c>
    </row>
    <row r="28" spans="1:35">
      <c r="A28" t="s">
        <v>15</v>
      </c>
      <c r="B28" s="28">
        <v>4.9646539345662849E-2</v>
      </c>
      <c r="C28" s="36">
        <v>1.0418238884169517</v>
      </c>
      <c r="J28" s="8" t="s">
        <v>32</v>
      </c>
      <c r="K28">
        <f t="shared" ref="K28:AI28" si="16">qa3_/wa</f>
        <v>6.2156852676547199E-3</v>
      </c>
      <c r="L28">
        <f t="shared" si="16"/>
        <v>7.0393023535133117E-2</v>
      </c>
      <c r="M28">
        <f t="shared" si="16"/>
        <v>0.46167115075091675</v>
      </c>
      <c r="N28">
        <f t="shared" si="16"/>
        <v>0.84601510152218307</v>
      </c>
      <c r="O28">
        <f t="shared" si="16"/>
        <v>0.89031412291357781</v>
      </c>
      <c r="P28">
        <f t="shared" si="16"/>
        <v>0.88309319946232945</v>
      </c>
      <c r="Q28">
        <f t="shared" si="16"/>
        <v>0.88592807508472526</v>
      </c>
      <c r="R28">
        <f t="shared" si="16"/>
        <v>0.8896694409622663</v>
      </c>
      <c r="S28">
        <f t="shared" si="16"/>
        <v>0.89271041167156617</v>
      </c>
      <c r="T28">
        <f t="shared" si="16"/>
        <v>0.89509200430082636</v>
      </c>
      <c r="U28">
        <f t="shared" si="16"/>
        <v>0.89694856572066206</v>
      </c>
      <c r="V28">
        <f t="shared" si="16"/>
        <v>0.89839331424772029</v>
      </c>
      <c r="W28">
        <f t="shared" si="16"/>
        <v>0.89951585691422886</v>
      </c>
      <c r="X28">
        <f t="shared" si="16"/>
        <v>0.90038658345520517</v>
      </c>
      <c r="Y28">
        <f t="shared" si="16"/>
        <v>0.90106066165864596</v>
      </c>
      <c r="Z28">
        <f t="shared" si="16"/>
        <v>0.90158126655746496</v>
      </c>
      <c r="AA28">
        <f t="shared" si="16"/>
        <v>0.90198215053546604</v>
      </c>
      <c r="AB28">
        <f t="shared" si="16"/>
        <v>0.90228967740861421</v>
      </c>
      <c r="AC28">
        <f t="shared" si="16"/>
        <v>0.90252442627134533</v>
      </c>
      <c r="AD28">
        <f t="shared" si="16"/>
        <v>0.90270245255672177</v>
      </c>
      <c r="AE28">
        <f t="shared" si="16"/>
        <v>0.90283627743568551</v>
      </c>
      <c r="AF28">
        <f t="shared" si="16"/>
        <v>0.90293566278655135</v>
      </c>
      <c r="AG28">
        <f t="shared" si="16"/>
        <v>0.90300821742715831</v>
      </c>
      <c r="AH28">
        <f t="shared" si="16"/>
        <v>0.90305987087745077</v>
      </c>
      <c r="AI28">
        <f t="shared" si="16"/>
        <v>0.9030952433129803</v>
      </c>
    </row>
    <row r="29" spans="1:35">
      <c r="A29" t="s">
        <v>19</v>
      </c>
      <c r="B29" s="28">
        <v>2.1914438217778609E-2</v>
      </c>
      <c r="C29" s="36">
        <v>1.0734109767966595</v>
      </c>
    </row>
    <row r="30" spans="1:35">
      <c r="A30" t="s">
        <v>95</v>
      </c>
      <c r="B30" s="28">
        <v>3.5000000000000003E-2</v>
      </c>
      <c r="C30" s="36"/>
      <c r="G30" t="s">
        <v>58</v>
      </c>
      <c r="H30" t="s">
        <v>59</v>
      </c>
      <c r="J30" s="2" t="s">
        <v>51</v>
      </c>
    </row>
    <row r="31" spans="1:35">
      <c r="G31">
        <f>SUMPRODUCT(dlz1_,wa,ma)</f>
        <v>-49.602383252666392</v>
      </c>
      <c r="H31">
        <f>Ro/(reck-1)*phie/phif^2*dphif</f>
        <v>-19.153618728180533</v>
      </c>
      <c r="J31" s="8" t="s">
        <v>52</v>
      </c>
      <c r="K31">
        <v>0</v>
      </c>
      <c r="L31">
        <f t="shared" ref="L31:AH31" si="17">K31*sa-K$7*K18*K$10</f>
        <v>-3.9062748152876592E-5</v>
      </c>
      <c r="M31">
        <f t="shared" si="17"/>
        <v>-4.420274263062434E-4</v>
      </c>
      <c r="N31">
        <f t="shared" si="17"/>
        <v>-4.5789093113042635E-3</v>
      </c>
      <c r="O31">
        <f t="shared" si="17"/>
        <v>-4.3532183480828851E-2</v>
      </c>
      <c r="P31">
        <f t="shared" si="17"/>
        <v>-0.24400944865809132</v>
      </c>
      <c r="Q31">
        <f t="shared" si="17"/>
        <v>-0.49222577003593004</v>
      </c>
      <c r="R31">
        <f t="shared" si="17"/>
        <v>-0.64097071997947785</v>
      </c>
      <c r="S31">
        <f t="shared" si="17"/>
        <v>-0.70926108183437098</v>
      </c>
      <c r="T31">
        <f t="shared" si="17"/>
        <v>-0.72521702670397847</v>
      </c>
      <c r="U31">
        <f t="shared" si="17"/>
        <v>-0.70827410864768459</v>
      </c>
      <c r="V31">
        <f t="shared" si="17"/>
        <v>-0.67137290941781402</v>
      </c>
      <c r="W31">
        <f t="shared" si="17"/>
        <v>-0.62317092387546535</v>
      </c>
      <c r="X31">
        <f t="shared" si="17"/>
        <v>-0.56947134902841112</v>
      </c>
      <c r="Y31">
        <f t="shared" si="17"/>
        <v>-0.51413962924639967</v>
      </c>
      <c r="Z31">
        <f t="shared" si="17"/>
        <v>-0.4597064147503489</v>
      </c>
      <c r="AA31">
        <f t="shared" si="17"/>
        <v>-0.40777447632827885</v>
      </c>
      <c r="AB31">
        <f t="shared" si="17"/>
        <v>-0.35929940674044752</v>
      </c>
      <c r="AC31">
        <f t="shared" si="17"/>
        <v>-0.31478667301468793</v>
      </c>
      <c r="AD31">
        <f t="shared" si="17"/>
        <v>-0.27443172119630888</v>
      </c>
      <c r="AE31">
        <f t="shared" si="17"/>
        <v>-0.23822038605814383</v>
      </c>
      <c r="AF31">
        <f t="shared" si="17"/>
        <v>-0.20600108418065521</v>
      </c>
      <c r="AG31">
        <f t="shared" si="17"/>
        <v>-0.17753664277842937</v>
      </c>
      <c r="AH31">
        <f t="shared" si="17"/>
        <v>-0.15254127293852887</v>
      </c>
      <c r="AI31">
        <f>(AH31*sa-AH$7*AH18*AH$10)/oa-AH$7*AH$10*flt1_*sa/oa^2</f>
        <v>-0.8552854532490497</v>
      </c>
    </row>
    <row r="32" spans="1:35">
      <c r="A32" s="12" t="s">
        <v>22</v>
      </c>
      <c r="B32" s="12"/>
      <c r="C32" s="12"/>
      <c r="G32">
        <f>SUMPRODUCT(dlz2_,wa,ma)</f>
        <v>-23.943456097192968</v>
      </c>
      <c r="H32">
        <f>Ro/(reck-1)*phie/phif^2*dphif</f>
        <v>-9.2456006959284807</v>
      </c>
      <c r="J32" s="8" t="s">
        <v>53</v>
      </c>
      <c r="K32">
        <v>0</v>
      </c>
      <c r="L32">
        <f t="shared" ref="L32:AH32" si="18">K32*sa-K$7*K19*K$10</f>
        <v>-1.4699394626284488E-4</v>
      </c>
      <c r="M32">
        <f t="shared" si="18"/>
        <v>-1.3226728559587279E-3</v>
      </c>
      <c r="N32">
        <f t="shared" si="18"/>
        <v>-1.0710050669725892E-2</v>
      </c>
      <c r="O32">
        <f t="shared" si="18"/>
        <v>-7.941561614136762E-2</v>
      </c>
      <c r="P32">
        <f t="shared" si="18"/>
        <v>-0.35258626517250813</v>
      </c>
      <c r="Q32">
        <f t="shared" si="18"/>
        <v>-0.60050495572878493</v>
      </c>
      <c r="R32">
        <f t="shared" si="18"/>
        <v>-0.6856212826644803</v>
      </c>
      <c r="S32">
        <f t="shared" si="18"/>
        <v>-0.67520435695583692</v>
      </c>
      <c r="T32">
        <f t="shared" si="18"/>
        <v>-0.61984939805807593</v>
      </c>
      <c r="U32">
        <f t="shared" si="18"/>
        <v>-0.54713046552354538</v>
      </c>
      <c r="V32">
        <f t="shared" si="18"/>
        <v>-0.47139777155561113</v>
      </c>
      <c r="W32">
        <f t="shared" si="18"/>
        <v>-0.39974621213592709</v>
      </c>
      <c r="X32">
        <f t="shared" si="18"/>
        <v>-0.33531289144552306</v>
      </c>
      <c r="Y32">
        <f t="shared" si="18"/>
        <v>-0.27910671382260782</v>
      </c>
      <c r="Z32">
        <f t="shared" si="18"/>
        <v>-0.23103060601352415</v>
      </c>
      <c r="AA32">
        <f t="shared" si="18"/>
        <v>-0.19045270284292623</v>
      </c>
      <c r="AB32">
        <f t="shared" si="18"/>
        <v>-0.15652241324533639</v>
      </c>
      <c r="AC32">
        <f t="shared" si="18"/>
        <v>-0.12834114492590953</v>
      </c>
      <c r="AD32">
        <f t="shared" si="18"/>
        <v>-0.10505014763251885</v>
      </c>
      <c r="AE32">
        <f t="shared" si="18"/>
        <v>-8.5871409847287625E-2</v>
      </c>
      <c r="AF32">
        <f t="shared" si="18"/>
        <v>-7.0122419873566086E-2</v>
      </c>
      <c r="AG32">
        <f t="shared" si="18"/>
        <v>-5.7216861851451424E-2</v>
      </c>
      <c r="AH32">
        <f t="shared" si="18"/>
        <v>-4.6658215711434886E-2</v>
      </c>
      <c r="AI32">
        <f>(AH32*sa-AH$7*AH19*AH$10)/oa-AH$7*AH$10*flt2_*sa/oa^2</f>
        <v>-0.20522761342758433</v>
      </c>
    </row>
    <row r="33" spans="1:35">
      <c r="A33" t="s">
        <v>28</v>
      </c>
      <c r="B33" s="1">
        <f>SUMPRODUCT(lx,wa,ma)</f>
        <v>12.130227764811181</v>
      </c>
      <c r="G33">
        <f>SUMPRODUCT(dlz3_,wa,ma)</f>
        <v>-59.338497287422399</v>
      </c>
      <c r="H33">
        <f>Ro/(reck-1)*phie/phif^2*dphif</f>
        <v>-22.913152119265721</v>
      </c>
      <c r="J33" s="8" t="s">
        <v>54</v>
      </c>
      <c r="K33">
        <v>0</v>
      </c>
      <c r="L33">
        <f t="shared" ref="L33:AH33" si="19">K33*sa-K$7*K20*K$10</f>
        <v>-5.7606961759611502E-3</v>
      </c>
      <c r="M33">
        <f t="shared" si="19"/>
        <v>-6.0997220300767839E-2</v>
      </c>
      <c r="N33">
        <f t="shared" si="19"/>
        <v>-0.3654361930492534</v>
      </c>
      <c r="O33">
        <f t="shared" si="19"/>
        <v>-0.77800718828383264</v>
      </c>
      <c r="P33">
        <f t="shared" si="19"/>
        <v>-1.0216933220662212</v>
      </c>
      <c r="Q33">
        <f t="shared" si="19"/>
        <v>-1.1240952215567912</v>
      </c>
      <c r="R33">
        <f t="shared" si="19"/>
        <v>-1.1404233130504267</v>
      </c>
      <c r="S33">
        <f t="shared" si="19"/>
        <v>-1.1056396802088579</v>
      </c>
      <c r="T33">
        <f t="shared" si="19"/>
        <v>-1.0414763151718256</v>
      </c>
      <c r="U33">
        <f t="shared" si="19"/>
        <v>-0.96170481978987965</v>
      </c>
      <c r="V33">
        <f t="shared" si="19"/>
        <v>-0.87514658298574677</v>
      </c>
      <c r="W33">
        <f t="shared" si="19"/>
        <v>-0.7874509042962905</v>
      </c>
      <c r="X33">
        <f t="shared" si="19"/>
        <v>-0.70218489221415059</v>
      </c>
      <c r="Y33">
        <f t="shared" si="19"/>
        <v>-0.62152429223284833</v>
      </c>
      <c r="Z33">
        <f t="shared" si="19"/>
        <v>-0.54670491673406374</v>
      </c>
      <c r="AA33">
        <f t="shared" si="19"/>
        <v>-0.47832559855587076</v>
      </c>
      <c r="AB33">
        <f t="shared" si="19"/>
        <v>-0.41655598120596288</v>
      </c>
      <c r="AC33">
        <f t="shared" si="19"/>
        <v>-0.36128136531908978</v>
      </c>
      <c r="AD33">
        <f t="shared" si="19"/>
        <v>-0.31220471040718645</v>
      </c>
      <c r="AE33">
        <f t="shared" si="19"/>
        <v>-0.26891874750275502</v>
      </c>
      <c r="AF33">
        <f t="shared" si="19"/>
        <v>-0.2309568302243003</v>
      </c>
      <c r="AG33">
        <f t="shared" si="19"/>
        <v>-0.19782844850230005</v>
      </c>
      <c r="AH33">
        <f t="shared" si="19"/>
        <v>-0.16904358441894662</v>
      </c>
      <c r="AI33">
        <f>(AH33*sa-AH$7*AH20*AH$10)/oa-AH$7*AH$10*flt3_*sa/oa^2</f>
        <v>-0.92720012318895773</v>
      </c>
    </row>
    <row r="34" spans="1:35">
      <c r="A34" t="s">
        <v>27</v>
      </c>
      <c r="B34" s="1">
        <f>SUMPRODUCT(lz,wa,ma)</f>
        <v>4.8520973994143013</v>
      </c>
      <c r="G34" t="s">
        <v>57</v>
      </c>
      <c r="J34" s="8"/>
    </row>
    <row r="35" spans="1:35">
      <c r="A35" t="s">
        <v>33</v>
      </c>
      <c r="B35" s="1">
        <f>SUMPRODUCT(lz,ta1_)</f>
        <v>2.0571633971831407</v>
      </c>
      <c r="C35" s="10"/>
      <c r="G35" s="1">
        <f>SUM(dqa11_)</f>
        <v>137.19860534422395</v>
      </c>
      <c r="H35" s="1">
        <f>SUM(dqa12_)</f>
        <v>139.95199606167759</v>
      </c>
      <c r="I35" s="11">
        <f>SUM(dqa13_)</f>
        <v>136.94628165801421</v>
      </c>
      <c r="J35" s="8" t="s">
        <v>62</v>
      </c>
      <c r="K35">
        <f>flt1_*qa1_+lz*wa*flt1_^2/za*(sa-oa/za)</f>
        <v>7.6036424197345164E-11</v>
      </c>
      <c r="L35">
        <f t="shared" ref="L35:AI35" si="20">flt1_*qa1_+lz*wa*flt1_^2/za*(sa-oa/za)</f>
        <v>7.428845823780895E-8</v>
      </c>
      <c r="M35">
        <f t="shared" si="20"/>
        <v>2.9698008990735124E-5</v>
      </c>
      <c r="N35">
        <f t="shared" si="20"/>
        <v>7.2553932450688079E-3</v>
      </c>
      <c r="O35">
        <f t="shared" si="20"/>
        <v>0.48891957576836331</v>
      </c>
      <c r="P35">
        <f t="shared" si="20"/>
        <v>2.3229396271019547</v>
      </c>
      <c r="Q35">
        <f t="shared" si="20"/>
        <v>3.4864946776397594</v>
      </c>
      <c r="R35">
        <f t="shared" si="20"/>
        <v>4.3006987139585728</v>
      </c>
      <c r="S35">
        <f t="shared" si="20"/>
        <v>5.0007377321726434</v>
      </c>
      <c r="T35">
        <f t="shared" si="20"/>
        <v>5.6102500314019892</v>
      </c>
      <c r="U35">
        <f t="shared" si="20"/>
        <v>6.1326433715240825</v>
      </c>
      <c r="V35">
        <f t="shared" si="20"/>
        <v>6.5737845402880142</v>
      </c>
      <c r="W35">
        <f t="shared" si="20"/>
        <v>6.9420202961383906</v>
      </c>
      <c r="X35">
        <f t="shared" si="20"/>
        <v>7.2466650737974705</v>
      </c>
      <c r="Y35">
        <f t="shared" si="20"/>
        <v>7.4969587177531229</v>
      </c>
      <c r="Z35">
        <f t="shared" si="20"/>
        <v>7.7014853056688963</v>
      </c>
      <c r="AA35">
        <f t="shared" si="20"/>
        <v>7.8679001065591825</v>
      </c>
      <c r="AB35">
        <f t="shared" si="20"/>
        <v>8.0028452473731875</v>
      </c>
      <c r="AC35">
        <f t="shared" si="20"/>
        <v>8.1119735018714092</v>
      </c>
      <c r="AD35">
        <f t="shared" si="20"/>
        <v>8.2000285105121105</v>
      </c>
      <c r="AE35">
        <f t="shared" si="20"/>
        <v>8.2709495715894956</v>
      </c>
      <c r="AF35">
        <f t="shared" si="20"/>
        <v>8.3279822361581974</v>
      </c>
      <c r="AG35">
        <f t="shared" si="20"/>
        <v>8.3737843227580466</v>
      </c>
      <c r="AH35">
        <f t="shared" si="20"/>
        <v>8.4105221777158174</v>
      </c>
      <c r="AI35">
        <f t="shared" si="20"/>
        <v>8.3217368408546832</v>
      </c>
    </row>
    <row r="36" spans="1:35">
      <c r="A36" t="s">
        <v>34</v>
      </c>
      <c r="B36" s="1">
        <f>SUMPRODUCT(lz,ta2_)</f>
        <v>1.4172717454405097</v>
      </c>
      <c r="C36" s="10"/>
      <c r="G36" s="1">
        <f>SUM(dqa21_)</f>
        <v>139.95199606167759</v>
      </c>
      <c r="H36" s="1">
        <f>SUM(dqa22_)</f>
        <v>11.748526866771481</v>
      </c>
      <c r="I36" s="11">
        <f>SUM(dqa23_)</f>
        <v>139.60466182177444</v>
      </c>
      <c r="J36" s="8" t="s">
        <v>63</v>
      </c>
      <c r="K36">
        <f t="shared" ref="K36:AI36" si="21">flt2_*qa2_+lz*wa*flt2_^2/za*(sa-oa/za)</f>
        <v>1.0767007021362684E-9</v>
      </c>
      <c r="L36">
        <f t="shared" si="21"/>
        <v>6.3760731286978033E-7</v>
      </c>
      <c r="M36">
        <f t="shared" si="21"/>
        <v>1.5460843626283164E-4</v>
      </c>
      <c r="N36">
        <f t="shared" si="21"/>
        <v>2.2910854106267184E-2</v>
      </c>
      <c r="O36">
        <f t="shared" si="21"/>
        <v>0.93646645115596616</v>
      </c>
      <c r="P36">
        <f t="shared" si="21"/>
        <v>2.6987782015007218</v>
      </c>
      <c r="Q36">
        <f t="shared" si="21"/>
        <v>2.45692981913112</v>
      </c>
      <c r="R36">
        <f t="shared" si="21"/>
        <v>1.8383035993662022</v>
      </c>
      <c r="S36">
        <f t="shared" si="21"/>
        <v>1.2965425393318617</v>
      </c>
      <c r="T36">
        <f t="shared" si="21"/>
        <v>0.88228598966939664</v>
      </c>
      <c r="U36">
        <f t="shared" si="21"/>
        <v>0.5849912227080416</v>
      </c>
      <c r="V36">
        <f t="shared" si="21"/>
        <v>0.38035714535823323</v>
      </c>
      <c r="W36">
        <f t="shared" si="21"/>
        <v>0.24363319827422869</v>
      </c>
      <c r="X36">
        <f t="shared" si="21"/>
        <v>0.15426352489170814</v>
      </c>
      <c r="Y36">
        <f t="shared" si="21"/>
        <v>9.6802072227212752E-2</v>
      </c>
      <c r="Z36">
        <f t="shared" si="21"/>
        <v>6.0318217615790481E-2</v>
      </c>
      <c r="AA36">
        <f t="shared" si="21"/>
        <v>3.7377247797259115E-2</v>
      </c>
      <c r="AB36">
        <f t="shared" si="21"/>
        <v>2.3060428617568275E-2</v>
      </c>
      <c r="AC36">
        <f t="shared" si="21"/>
        <v>1.4178293207358411E-2</v>
      </c>
      <c r="AD36">
        <f t="shared" si="21"/>
        <v>8.6933520250743884E-3</v>
      </c>
      <c r="AE36">
        <f t="shared" si="21"/>
        <v>5.3186541447154201E-3</v>
      </c>
      <c r="AF36">
        <f t="shared" si="21"/>
        <v>3.2483337275139306E-3</v>
      </c>
      <c r="AG36">
        <f t="shared" si="21"/>
        <v>1.9811488011187142E-3</v>
      </c>
      <c r="AH36">
        <f t="shared" si="21"/>
        <v>1.2069596716591348E-3</v>
      </c>
      <c r="AI36">
        <f t="shared" si="21"/>
        <v>7.2436632218516336E-4</v>
      </c>
    </row>
    <row r="37" spans="1:35">
      <c r="A37" t="s">
        <v>35</v>
      </c>
      <c r="B37" s="1">
        <f>SUMPRODUCT(lz,ta3_)</f>
        <v>3.2108846231009731</v>
      </c>
      <c r="C37" s="10"/>
      <c r="G37" s="1">
        <f>SUM(dqa31_)</f>
        <v>136.94628165801421</v>
      </c>
      <c r="H37" s="1">
        <f>SUM(dqa32_)</f>
        <v>139.60466182177444</v>
      </c>
      <c r="I37" s="1">
        <f>SUM(dqa33_)</f>
        <v>140.3079470077497</v>
      </c>
      <c r="J37" s="8" t="s">
        <v>64</v>
      </c>
      <c r="K37">
        <f t="shared" ref="K37:AI37" si="22">flt3_*qa3_+lz*wa*flt3_^2/za*(sa-oa/za)</f>
        <v>1.6536593058352537E-6</v>
      </c>
      <c r="L37">
        <f t="shared" si="22"/>
        <v>1.3988811587721083E-3</v>
      </c>
      <c r="M37">
        <f t="shared" si="22"/>
        <v>0.16573018451647709</v>
      </c>
      <c r="N37">
        <f t="shared" si="22"/>
        <v>1.0766881579933525</v>
      </c>
      <c r="O37">
        <f t="shared" si="22"/>
        <v>1.9293948304276309</v>
      </c>
      <c r="P37">
        <f t="shared" si="22"/>
        <v>2.7166705550522554</v>
      </c>
      <c r="Q37">
        <f t="shared" si="22"/>
        <v>3.5329624511861555</v>
      </c>
      <c r="R37">
        <f t="shared" si="22"/>
        <v>4.3049947173206906</v>
      </c>
      <c r="S37">
        <f t="shared" si="22"/>
        <v>5.0006886551428025</v>
      </c>
      <c r="T37">
        <f t="shared" si="22"/>
        <v>5.6097305635373651</v>
      </c>
      <c r="U37">
        <f t="shared" si="22"/>
        <v>6.132033864176071</v>
      </c>
      <c r="V37">
        <f t="shared" si="22"/>
        <v>6.573127522579945</v>
      </c>
      <c r="W37">
        <f t="shared" si="22"/>
        <v>6.9413261572391978</v>
      </c>
      <c r="X37">
        <f t="shared" si="22"/>
        <v>7.2459404459575651</v>
      </c>
      <c r="Y37">
        <f t="shared" si="22"/>
        <v>7.4962090595717044</v>
      </c>
      <c r="Z37">
        <f t="shared" si="22"/>
        <v>7.7007151956619078</v>
      </c>
      <c r="AA37">
        <f t="shared" si="22"/>
        <v>7.8671133558881783</v>
      </c>
      <c r="AB37">
        <f t="shared" si="22"/>
        <v>8.0020450028614665</v>
      </c>
      <c r="AC37">
        <f t="shared" si="22"/>
        <v>8.1111623450797499</v>
      </c>
      <c r="AD37">
        <f t="shared" si="22"/>
        <v>8.1992085486598345</v>
      </c>
      <c r="AE37">
        <f t="shared" si="22"/>
        <v>8.2701225179857012</v>
      </c>
      <c r="AF37">
        <f t="shared" si="22"/>
        <v>8.3271494795731069</v>
      </c>
      <c r="AG37">
        <f t="shared" si="22"/>
        <v>8.3729469861932966</v>
      </c>
      <c r="AH37">
        <f t="shared" si="22"/>
        <v>8.4096811675492553</v>
      </c>
      <c r="AI37">
        <f t="shared" si="22"/>
        <v>8.320904708777892</v>
      </c>
    </row>
    <row r="38" spans="1:35">
      <c r="A38" s="1" t="s">
        <v>36</v>
      </c>
      <c r="B38" s="1">
        <f>SUMPRODUCT(lz,qa1_)</f>
        <v>11.699191111954111</v>
      </c>
      <c r="G38" t="s">
        <v>69</v>
      </c>
      <c r="J38" s="8" t="s">
        <v>60</v>
      </c>
      <c r="K38">
        <f t="shared" ref="K38:AI38" si="23">flt1_*qa1_+lz*wa*flt2_*flt1_/za*(sa-oa/za)</f>
        <v>-1.2379882939500277E-10</v>
      </c>
      <c r="L38">
        <f t="shared" si="23"/>
        <v>-2.926496869413112E-8</v>
      </c>
      <c r="M38">
        <f t="shared" si="23"/>
        <v>8.3130889703815719E-6</v>
      </c>
      <c r="N38">
        <f t="shared" si="23"/>
        <v>4.7811317186491099E-3</v>
      </c>
      <c r="O38">
        <f t="shared" si="23"/>
        <v>0.42534321720378032</v>
      </c>
      <c r="P38">
        <f t="shared" si="23"/>
        <v>2.2773441932497951</v>
      </c>
      <c r="Q38">
        <f t="shared" si="23"/>
        <v>3.5903281079326863</v>
      </c>
      <c r="R38">
        <f t="shared" si="23"/>
        <v>4.5083343440041919</v>
      </c>
      <c r="S38">
        <f t="shared" si="23"/>
        <v>5.262981850087419</v>
      </c>
      <c r="T38">
        <f t="shared" si="23"/>
        <v>5.891341144162495</v>
      </c>
      <c r="U38">
        <f t="shared" si="23"/>
        <v>6.4090233321929269</v>
      </c>
      <c r="V38">
        <f t="shared" si="23"/>
        <v>6.8314833379418989</v>
      </c>
      <c r="W38">
        <f t="shared" si="23"/>
        <v>7.1739327765347127</v>
      </c>
      <c r="X38">
        <f t="shared" si="23"/>
        <v>7.4502447367906486</v>
      </c>
      <c r="Y38">
        <f t="shared" si="23"/>
        <v>7.6724747323893476</v>
      </c>
      <c r="Z38">
        <f t="shared" si="23"/>
        <v>7.8507987637035619</v>
      </c>
      <c r="AA38">
        <f t="shared" si="23"/>
        <v>7.9936522219201525</v>
      </c>
      <c r="AB38">
        <f t="shared" si="23"/>
        <v>8.1079464176476446</v>
      </c>
      <c r="AC38">
        <f t="shared" si="23"/>
        <v>8.1993002602339118</v>
      </c>
      <c r="AD38">
        <f t="shared" si="23"/>
        <v>8.2722580177958882</v>
      </c>
      <c r="AE38">
        <f t="shared" si="23"/>
        <v>8.3304815496881748</v>
      </c>
      <c r="AF38">
        <f t="shared" si="23"/>
        <v>8.3769141525178412</v>
      </c>
      <c r="AG38">
        <f t="shared" si="23"/>
        <v>8.413917273654798</v>
      </c>
      <c r="AH38">
        <f t="shared" si="23"/>
        <v>8.4433830497544413</v>
      </c>
      <c r="AI38">
        <f t="shared" si="23"/>
        <v>8.4657231668524187</v>
      </c>
    </row>
    <row r="39" spans="1:35">
      <c r="A39" s="1" t="s">
        <v>37</v>
      </c>
      <c r="B39" s="1">
        <f>SUMPRODUCT(lz,qa2_)</f>
        <v>6.1911436904788895</v>
      </c>
      <c r="G39" s="1">
        <f>re*phi_q1+f1_*phi_q1*$H31+f1_*re*G35</f>
        <v>109.04105672174745</v>
      </c>
      <c r="H39" s="1">
        <f>re*phi_q1+f1_*phi_q1*$H32+f1_*re*H35</f>
        <v>113.67631707501957</v>
      </c>
      <c r="I39" s="1">
        <f>re*phi_q1+f1_*phi_q1*$H33+f1_*re*I35</f>
        <v>107.47521078278012</v>
      </c>
      <c r="J39" s="8" t="s">
        <v>66</v>
      </c>
      <c r="K39">
        <f t="shared" ref="K39:AI39" si="24">flt1_*qa1_+lz*wa*flt3_*flt1_/za*(sa-oa/za)</f>
        <v>-1.0517601810445035E-8</v>
      </c>
      <c r="L39">
        <f t="shared" si="24"/>
        <v>-7.2360732745614722E-6</v>
      </c>
      <c r="M39">
        <f t="shared" si="24"/>
        <v>-1.2000482031295676E-3</v>
      </c>
      <c r="N39">
        <f t="shared" si="24"/>
        <v>-2.8351439663483177E-2</v>
      </c>
      <c r="O39">
        <f t="shared" si="24"/>
        <v>0.32557698807298119</v>
      </c>
      <c r="P39">
        <f t="shared" si="24"/>
        <v>2.2752554153303164</v>
      </c>
      <c r="Q39">
        <f t="shared" si="24"/>
        <v>3.4821987527799267</v>
      </c>
      <c r="R39">
        <f t="shared" si="24"/>
        <v>4.3003992455370099</v>
      </c>
      <c r="S39">
        <f t="shared" si="24"/>
        <v>5.0007403539992383</v>
      </c>
      <c r="T39">
        <f t="shared" si="24"/>
        <v>5.6102715975519635</v>
      </c>
      <c r="U39">
        <f t="shared" si="24"/>
        <v>6.1326632438044522</v>
      </c>
      <c r="V39">
        <f t="shared" si="24"/>
        <v>6.5738014973337</v>
      </c>
      <c r="W39">
        <f t="shared" si="24"/>
        <v>6.9420345638853336</v>
      </c>
      <c r="X39">
        <f t="shared" si="24"/>
        <v>7.2466769912818991</v>
      </c>
      <c r="Y39">
        <f t="shared" si="24"/>
        <v>7.4969686183549404</v>
      </c>
      <c r="Z39">
        <f t="shared" si="24"/>
        <v>7.7014934959877506</v>
      </c>
      <c r="AA39">
        <f t="shared" si="24"/>
        <v>7.8679068594478903</v>
      </c>
      <c r="AB39">
        <f t="shared" si="24"/>
        <v>8.0028508003853105</v>
      </c>
      <c r="AC39">
        <f t="shared" si="24"/>
        <v>8.1119780586033361</v>
      </c>
      <c r="AD39">
        <f t="shared" si="24"/>
        <v>8.2000322434418145</v>
      </c>
      <c r="AE39">
        <f t="shared" si="24"/>
        <v>8.2709526255579817</v>
      </c>
      <c r="AF39">
        <f t="shared" si="24"/>
        <v>8.3279847319846656</v>
      </c>
      <c r="AG39">
        <f t="shared" si="24"/>
        <v>8.3737863607019865</v>
      </c>
      <c r="AH39">
        <f t="shared" si="24"/>
        <v>8.4105238406391614</v>
      </c>
      <c r="AI39">
        <f t="shared" si="24"/>
        <v>8.3217441077900265</v>
      </c>
    </row>
    <row r="40" spans="1:35">
      <c r="A40" s="1" t="s">
        <v>38</v>
      </c>
      <c r="B40" s="1">
        <f>SUMPRODUCT(lz,qa3_)</f>
        <v>13.867558720474173</v>
      </c>
      <c r="G40" s="1">
        <f>re*phi_q1+f1_*phi_q1*$H32+f1_*re*G36</f>
        <v>113.67631707501957</v>
      </c>
      <c r="H40" s="1">
        <f>re*phi_q2+f2_*phi_q2*$H32+f2_*re*H36</f>
        <v>45.390056248675357</v>
      </c>
      <c r="I40" s="1">
        <f>re*phi_q3+f3_*phi_q3*$H33+f3_*re*I36</f>
        <v>113.55138183068395</v>
      </c>
      <c r="J40" s="8" t="s">
        <v>65</v>
      </c>
      <c r="K40">
        <f t="shared" ref="K40:AI40" si="25">flt1_*qa1_+lz*wa*flt1_*flt2_/za*(sa-oa/za)</f>
        <v>-1.2379882939500277E-10</v>
      </c>
      <c r="L40">
        <f t="shared" si="25"/>
        <v>-2.926496869413112E-8</v>
      </c>
      <c r="M40">
        <f t="shared" si="25"/>
        <v>8.3130889703815651E-6</v>
      </c>
      <c r="N40">
        <f t="shared" si="25"/>
        <v>4.7811317186491091E-3</v>
      </c>
      <c r="O40">
        <f t="shared" si="25"/>
        <v>0.42534321720378032</v>
      </c>
      <c r="P40">
        <f t="shared" si="25"/>
        <v>2.2773441932497951</v>
      </c>
      <c r="Q40">
        <f t="shared" si="25"/>
        <v>3.5903281079326863</v>
      </c>
      <c r="R40">
        <f t="shared" si="25"/>
        <v>4.5083343440041919</v>
      </c>
      <c r="S40">
        <f t="shared" si="25"/>
        <v>5.262981850087419</v>
      </c>
      <c r="T40">
        <f t="shared" si="25"/>
        <v>5.891341144162495</v>
      </c>
      <c r="U40">
        <f t="shared" si="25"/>
        <v>6.4090233321929269</v>
      </c>
      <c r="V40">
        <f t="shared" si="25"/>
        <v>6.8314833379418989</v>
      </c>
      <c r="W40">
        <f t="shared" si="25"/>
        <v>7.1739327765347127</v>
      </c>
      <c r="X40">
        <f t="shared" si="25"/>
        <v>7.4502447367906486</v>
      </c>
      <c r="Y40">
        <f t="shared" si="25"/>
        <v>7.6724747323893476</v>
      </c>
      <c r="Z40">
        <f t="shared" si="25"/>
        <v>7.8507987637035619</v>
      </c>
      <c r="AA40">
        <f t="shared" si="25"/>
        <v>7.9936522219201525</v>
      </c>
      <c r="AB40">
        <f t="shared" si="25"/>
        <v>8.1079464176476446</v>
      </c>
      <c r="AC40">
        <f t="shared" si="25"/>
        <v>8.1993002602339118</v>
      </c>
      <c r="AD40">
        <f t="shared" si="25"/>
        <v>8.2722580177958882</v>
      </c>
      <c r="AE40">
        <f t="shared" si="25"/>
        <v>8.3304815496881748</v>
      </c>
      <c r="AF40">
        <f t="shared" si="25"/>
        <v>8.3769141525178412</v>
      </c>
      <c r="AG40">
        <f t="shared" si="25"/>
        <v>8.413917273654798</v>
      </c>
      <c r="AH40">
        <f t="shared" si="25"/>
        <v>8.4433830497544413</v>
      </c>
      <c r="AI40">
        <f t="shared" si="25"/>
        <v>8.4657231668524187</v>
      </c>
    </row>
    <row r="41" spans="1:35">
      <c r="G41" s="1">
        <f>re*phi_q1+f1_*phi_q1*$H33+f1_*re*G37</f>
        <v>107.47521078278012</v>
      </c>
      <c r="H41" s="1">
        <f>re*phi_q3+f3_*phi_q3*$H33+f3_*re*H37</f>
        <v>113.55138183068395</v>
      </c>
      <c r="I41" s="1">
        <f>re*phi_q3+f1_*phi_q3*$H33+f3_*re*I37</f>
        <v>109.75619400612086</v>
      </c>
      <c r="J41" s="8" t="s">
        <v>67</v>
      </c>
      <c r="K41">
        <f t="shared" ref="K41:AI41" si="26">flt1_*qa1_+lz*wa*flt3_*flt2_/za*(sa-oa/za)</f>
        <v>-3.9987883232692881E-8</v>
      </c>
      <c r="L41">
        <f t="shared" si="26"/>
        <v>-2.1446077711309177E-5</v>
      </c>
      <c r="M41">
        <f t="shared" si="26"/>
        <v>-2.7975625608247165E-3</v>
      </c>
      <c r="N41">
        <f t="shared" si="26"/>
        <v>-5.8492608672412634E-2</v>
      </c>
      <c r="O41">
        <f t="shared" si="26"/>
        <v>0.19928160005107459</v>
      </c>
      <c r="P41">
        <f t="shared" si="26"/>
        <v>2.2259470189015946</v>
      </c>
      <c r="Q41">
        <f t="shared" si="26"/>
        <v>3.5867218353602381</v>
      </c>
      <c r="R41">
        <f t="shared" si="26"/>
        <v>4.5081385541681209</v>
      </c>
      <c r="S41">
        <f t="shared" si="26"/>
        <v>5.262983185084483</v>
      </c>
      <c r="T41">
        <f t="shared" si="26"/>
        <v>5.8913496965270324</v>
      </c>
      <c r="U41">
        <f t="shared" si="26"/>
        <v>6.4090294697921442</v>
      </c>
      <c r="V41">
        <f t="shared" si="26"/>
        <v>6.8314874167967137</v>
      </c>
      <c r="W41">
        <f t="shared" si="26"/>
        <v>7.1739354494222844</v>
      </c>
      <c r="X41">
        <f t="shared" si="26"/>
        <v>7.4502464755806077</v>
      </c>
      <c r="Y41">
        <f t="shared" si="26"/>
        <v>7.6724758574122456</v>
      </c>
      <c r="Z41">
        <f t="shared" si="26"/>
        <v>7.8507994885363219</v>
      </c>
      <c r="AA41">
        <f t="shared" si="26"/>
        <v>7.9936526873602913</v>
      </c>
      <c r="AB41">
        <f t="shared" si="26"/>
        <v>8.1079467157326288</v>
      </c>
      <c r="AC41">
        <f t="shared" si="26"/>
        <v>8.199300450737077</v>
      </c>
      <c r="AD41">
        <f t="shared" si="26"/>
        <v>8.272258139340515</v>
      </c>
      <c r="AE41">
        <f t="shared" si="26"/>
        <v>8.3304816271321691</v>
      </c>
      <c r="AF41">
        <f t="shared" si="26"/>
        <v>8.3769142018096563</v>
      </c>
      <c r="AG41">
        <f t="shared" si="26"/>
        <v>8.4139173050013589</v>
      </c>
      <c r="AH41">
        <f t="shared" si="26"/>
        <v>8.4433830696752583</v>
      </c>
      <c r="AI41">
        <f t="shared" si="26"/>
        <v>8.4657232346514402</v>
      </c>
    </row>
    <row r="42" spans="1:35">
      <c r="A42" s="15" t="s">
        <v>39</v>
      </c>
      <c r="B42" s="16"/>
      <c r="C42" s="16"/>
      <c r="J42" s="8" t="s">
        <v>68</v>
      </c>
      <c r="K42">
        <f t="shared" ref="K42:AI42" si="27">flt1_*qa1_+lz*wa*flt1_*flt3_/za*(sa-oa/za)</f>
        <v>-1.0517601810445034E-8</v>
      </c>
      <c r="L42">
        <f t="shared" si="27"/>
        <v>-7.2360732745614722E-6</v>
      </c>
      <c r="M42">
        <f t="shared" si="27"/>
        <v>-1.2000482031295676E-3</v>
      </c>
      <c r="N42">
        <f t="shared" si="27"/>
        <v>-2.8351439663483184E-2</v>
      </c>
      <c r="O42">
        <f t="shared" si="27"/>
        <v>0.32557698807298119</v>
      </c>
      <c r="P42">
        <f t="shared" si="27"/>
        <v>2.2752554153303164</v>
      </c>
      <c r="Q42">
        <f t="shared" si="27"/>
        <v>3.4821987527799267</v>
      </c>
      <c r="R42">
        <f t="shared" si="27"/>
        <v>4.3003992455370099</v>
      </c>
      <c r="S42">
        <f t="shared" si="27"/>
        <v>5.0007403539992383</v>
      </c>
      <c r="T42">
        <f t="shared" si="27"/>
        <v>5.6102715975519644</v>
      </c>
      <c r="U42">
        <f t="shared" si="27"/>
        <v>6.1326632438044522</v>
      </c>
      <c r="V42">
        <f t="shared" si="27"/>
        <v>6.5738014973337</v>
      </c>
      <c r="W42">
        <f t="shared" si="27"/>
        <v>6.9420345638853336</v>
      </c>
      <c r="X42">
        <f t="shared" si="27"/>
        <v>7.2466769912818991</v>
      </c>
      <c r="Y42">
        <f t="shared" si="27"/>
        <v>7.4969686183549404</v>
      </c>
      <c r="Z42">
        <f t="shared" si="27"/>
        <v>7.7014934959877506</v>
      </c>
      <c r="AA42">
        <f t="shared" si="27"/>
        <v>7.8679068594478903</v>
      </c>
      <c r="AB42">
        <f t="shared" si="27"/>
        <v>8.0028508003853105</v>
      </c>
      <c r="AC42">
        <f t="shared" si="27"/>
        <v>8.1119780586033361</v>
      </c>
      <c r="AD42">
        <f t="shared" si="27"/>
        <v>8.2000322434418145</v>
      </c>
      <c r="AE42">
        <f t="shared" si="27"/>
        <v>8.2709526255579817</v>
      </c>
      <c r="AF42">
        <f t="shared" si="27"/>
        <v>8.3279847319846656</v>
      </c>
      <c r="AG42">
        <f t="shared" si="27"/>
        <v>8.3737863607019865</v>
      </c>
      <c r="AH42">
        <f t="shared" si="27"/>
        <v>8.4105238406391614</v>
      </c>
      <c r="AI42">
        <f t="shared" si="27"/>
        <v>8.3217441077900265</v>
      </c>
    </row>
    <row r="43" spans="1:35">
      <c r="A43" s="1" t="s">
        <v>40</v>
      </c>
      <c r="B43" s="1">
        <f>phif/phie</f>
        <v>0.40000051882701221</v>
      </c>
      <c r="J43" s="8" t="s">
        <v>61</v>
      </c>
      <c r="K43">
        <f t="shared" ref="K43:AI43" si="28">flt1_*qa1_+lz*wa*flt2_*flt3_/za*(sa-oa/za)</f>
        <v>-3.9987883232692881E-8</v>
      </c>
      <c r="L43">
        <f t="shared" si="28"/>
        <v>-2.1446077711309177E-5</v>
      </c>
      <c r="M43">
        <f t="shared" si="28"/>
        <v>-2.7975625608247165E-3</v>
      </c>
      <c r="N43">
        <f t="shared" si="28"/>
        <v>-5.8492608672412634E-2</v>
      </c>
      <c r="O43">
        <f t="shared" si="28"/>
        <v>0.19928160005107459</v>
      </c>
      <c r="P43">
        <f t="shared" si="28"/>
        <v>2.2259470189015946</v>
      </c>
      <c r="Q43">
        <f t="shared" si="28"/>
        <v>3.5867218353602381</v>
      </c>
      <c r="R43">
        <f t="shared" si="28"/>
        <v>4.5081385541681209</v>
      </c>
      <c r="S43">
        <f t="shared" si="28"/>
        <v>5.262983185084483</v>
      </c>
      <c r="T43">
        <f t="shared" si="28"/>
        <v>5.8913496965270324</v>
      </c>
      <c r="U43">
        <f t="shared" si="28"/>
        <v>6.4090294697921442</v>
      </c>
      <c r="V43">
        <f t="shared" si="28"/>
        <v>6.8314874167967137</v>
      </c>
      <c r="W43">
        <f t="shared" si="28"/>
        <v>7.1739354494222844</v>
      </c>
      <c r="X43">
        <f t="shared" si="28"/>
        <v>7.4502464755806077</v>
      </c>
      <c r="Y43">
        <f t="shared" si="28"/>
        <v>7.6724758574122456</v>
      </c>
      <c r="Z43">
        <f t="shared" si="28"/>
        <v>7.8507994885363219</v>
      </c>
      <c r="AA43">
        <f t="shared" si="28"/>
        <v>7.9936526873602913</v>
      </c>
      <c r="AB43">
        <f t="shared" si="28"/>
        <v>8.1079467157326288</v>
      </c>
      <c r="AC43">
        <f t="shared" si="28"/>
        <v>8.199300450737077</v>
      </c>
      <c r="AD43">
        <f t="shared" si="28"/>
        <v>8.272258139340515</v>
      </c>
      <c r="AE43">
        <f t="shared" si="28"/>
        <v>8.3304816271321691</v>
      </c>
      <c r="AF43">
        <f t="shared" si="28"/>
        <v>8.3769142018096563</v>
      </c>
      <c r="AG43">
        <f t="shared" si="28"/>
        <v>8.4139173050013589</v>
      </c>
      <c r="AH43">
        <f t="shared" si="28"/>
        <v>8.4433830696752583</v>
      </c>
      <c r="AI43">
        <f t="shared" si="28"/>
        <v>8.4657232346514402</v>
      </c>
    </row>
    <row r="44" spans="1:35">
      <c r="A44" s="1" t="s">
        <v>41</v>
      </c>
      <c r="B44" s="11">
        <f>MAX(0,Ro*(reck-1/spr)/(reck-1))</f>
        <v>7.1197068609824221</v>
      </c>
    </row>
    <row r="45" spans="1:35">
      <c r="A45" s="1" t="s">
        <v>43</v>
      </c>
      <c r="B45" s="1">
        <f>f1_*re*phi_q1</f>
        <v>2.8489935883197957</v>
      </c>
      <c r="C45" s="20">
        <f>ye_1/SUM(ye_1,ye_2,ye_3)</f>
        <v>0.39563602410335996</v>
      </c>
      <c r="J45" s="2" t="s">
        <v>87</v>
      </c>
    </row>
    <row r="46" spans="1:35" ht="19" thickBot="1">
      <c r="A46" s="1" t="s">
        <v>44</v>
      </c>
      <c r="B46" s="1">
        <f>f2_*re*phi_q2</f>
        <v>2.1883761730216591</v>
      </c>
      <c r="C46" s="20">
        <f>ye_2/SUM(ye_1,ye_2,ye_3)</f>
        <v>0.30389694518316723</v>
      </c>
      <c r="G46" s="32" t="s">
        <v>94</v>
      </c>
      <c r="H46" s="32"/>
      <c r="I46" s="32"/>
      <c r="J46" s="8" t="s">
        <v>75</v>
      </c>
      <c r="K46">
        <f t="shared" ref="K46:AI46" si="29">lz*qa1_</f>
        <v>3.2684789917331903E-6</v>
      </c>
      <c r="L46">
        <f t="shared" si="29"/>
        <v>1.9915883543794699E-4</v>
      </c>
      <c r="M46">
        <f t="shared" si="29"/>
        <v>5.1233249114548433E-3</v>
      </c>
      <c r="N46">
        <f t="shared" si="29"/>
        <v>8.6530187211446549E-2</v>
      </c>
      <c r="O46">
        <f t="shared" si="29"/>
        <v>0.68778679651867913</v>
      </c>
      <c r="P46">
        <f t="shared" si="29"/>
        <v>1.3228511354408488</v>
      </c>
      <c r="Q46">
        <f t="shared" si="29"/>
        <v>1.3581177451464845</v>
      </c>
      <c r="R46">
        <f t="shared" si="29"/>
        <v>1.2497240001722547</v>
      </c>
      <c r="S46">
        <f t="shared" si="29"/>
        <v>1.1114565188167704</v>
      </c>
      <c r="T46">
        <f t="shared" si="29"/>
        <v>0.96803940414721379</v>
      </c>
      <c r="U46">
        <f t="shared" si="29"/>
        <v>0.83041521378849059</v>
      </c>
      <c r="V46">
        <f t="shared" si="29"/>
        <v>0.7042449974543411</v>
      </c>
      <c r="W46">
        <f t="shared" si="29"/>
        <v>0.59202893615762064</v>
      </c>
      <c r="X46">
        <f t="shared" si="29"/>
        <v>0.49432491214426483</v>
      </c>
      <c r="Y46">
        <f t="shared" si="29"/>
        <v>0.41056220063756499</v>
      </c>
      <c r="Z46">
        <f t="shared" si="29"/>
        <v>0.33957477667144209</v>
      </c>
      <c r="AA46">
        <f t="shared" si="29"/>
        <v>0.27993823827969588</v>
      </c>
      <c r="AB46">
        <f t="shared" si="29"/>
        <v>0.23017352849943068</v>
      </c>
      <c r="AC46">
        <f t="shared" si="29"/>
        <v>0.18886300098907213</v>
      </c>
      <c r="AD46">
        <f t="shared" si="29"/>
        <v>0.15471044268117584</v>
      </c>
      <c r="AE46">
        <f t="shared" si="29"/>
        <v>0.12656638517579341</v>
      </c>
      <c r="AF46">
        <f t="shared" si="29"/>
        <v>0.10343276558464704</v>
      </c>
      <c r="AG46">
        <f t="shared" si="29"/>
        <v>8.4456001597568692E-2</v>
      </c>
      <c r="AH46">
        <f t="shared" si="29"/>
        <v>6.8914186541398331E-2</v>
      </c>
      <c r="AI46">
        <f t="shared" si="29"/>
        <v>0.30115398607201926</v>
      </c>
    </row>
    <row r="47" spans="1:35" ht="19" thickTop="1">
      <c r="A47" s="1" t="s">
        <v>45</v>
      </c>
      <c r="B47" s="1">
        <f>f3_*re*phi_q3</f>
        <v>2.1636771978593474</v>
      </c>
      <c r="C47" s="20">
        <f>ye_3/SUM(ye_1,ye_2,ye_3)</f>
        <v>0.3004670307134728</v>
      </c>
      <c r="F47" t="s">
        <v>84</v>
      </c>
      <c r="G47" s="31">
        <f>G39/G53</f>
        <v>1</v>
      </c>
      <c r="H47" s="31">
        <f>H53/H39</f>
        <v>0.6188784944410094</v>
      </c>
      <c r="I47" s="31">
        <f>I53/I39</f>
        <v>1.0178909183828075</v>
      </c>
      <c r="J47" s="8" t="s">
        <v>76</v>
      </c>
      <c r="K47">
        <f t="shared" ref="K47:AI47" si="30">lz*qa2_</f>
        <v>1.2299355472681606E-5</v>
      </c>
      <c r="L47">
        <f t="shared" si="30"/>
        <v>5.8346599532476328E-4</v>
      </c>
      <c r="M47">
        <f t="shared" si="30"/>
        <v>1.1689739292023502E-2</v>
      </c>
      <c r="N47">
        <f t="shared" si="30"/>
        <v>0.15376511063672954</v>
      </c>
      <c r="O47">
        <f t="shared" si="30"/>
        <v>0.95187787625386822</v>
      </c>
      <c r="P47">
        <f t="shared" si="30"/>
        <v>1.4258558109459796</v>
      </c>
      <c r="Q47">
        <f t="shared" si="30"/>
        <v>1.1400904192416359</v>
      </c>
      <c r="R47">
        <f t="shared" si="30"/>
        <v>0.8170586262496865</v>
      </c>
      <c r="S47">
        <f t="shared" si="30"/>
        <v>0.56593795805585545</v>
      </c>
      <c r="T47">
        <f t="shared" si="30"/>
        <v>0.38388984037133916</v>
      </c>
      <c r="U47">
        <f t="shared" si="30"/>
        <v>0.25647563695467218</v>
      </c>
      <c r="V47">
        <f t="shared" si="30"/>
        <v>0.16939938428867829</v>
      </c>
      <c r="W47">
        <f t="shared" si="30"/>
        <v>0.1109093672496366</v>
      </c>
      <c r="X47">
        <f t="shared" si="30"/>
        <v>7.2123206795490641E-2</v>
      </c>
      <c r="Y47">
        <f t="shared" si="30"/>
        <v>4.6652909109780656E-2</v>
      </c>
      <c r="Z47">
        <f t="shared" si="30"/>
        <v>3.0051934117596567E-2</v>
      </c>
      <c r="AA47">
        <f t="shared" si="30"/>
        <v>1.9294630513224057E-2</v>
      </c>
      <c r="AB47">
        <f t="shared" si="30"/>
        <v>1.2355685733085486E-2</v>
      </c>
      <c r="AC47">
        <f t="shared" si="30"/>
        <v>7.8957902201511627E-3</v>
      </c>
      <c r="AD47">
        <f t="shared" si="30"/>
        <v>5.0373900577722307E-3</v>
      </c>
      <c r="AE47">
        <f t="shared" si="30"/>
        <v>3.2095309298825381E-3</v>
      </c>
      <c r="AF47">
        <f t="shared" si="30"/>
        <v>2.0427657264678518E-3</v>
      </c>
      <c r="AG47">
        <f t="shared" si="30"/>
        <v>1.2990569157649793E-3</v>
      </c>
      <c r="AH47">
        <f t="shared" si="30"/>
        <v>8.2555028858907178E-4</v>
      </c>
      <c r="AI47">
        <f t="shared" si="30"/>
        <v>2.8097051801829788E-3</v>
      </c>
    </row>
    <row r="48" spans="1:35">
      <c r="A48" s="1" t="s">
        <v>72</v>
      </c>
      <c r="B48" s="1">
        <f>SUM(B45:B47)</f>
        <v>7.2010469592008022</v>
      </c>
      <c r="F48" t="s">
        <v>85</v>
      </c>
      <c r="G48" s="31">
        <f>G40/G54</f>
        <v>1.6158260611450581</v>
      </c>
      <c r="H48" s="31">
        <f t="shared" ref="H48:I48" si="31">H40/H54</f>
        <v>1</v>
      </c>
      <c r="I48" s="31">
        <f>I54/I40</f>
        <v>0.62158776319693276</v>
      </c>
      <c r="J48" s="8" t="s">
        <v>77</v>
      </c>
      <c r="K48">
        <f t="shared" ref="K48:AI48" si="32">lz*qa3_</f>
        <v>4.8201202729511986E-4</v>
      </c>
      <c r="L48">
        <f t="shared" si="32"/>
        <v>2.7329350838874368E-2</v>
      </c>
      <c r="M48">
        <f t="shared" si="32"/>
        <v>0.3827269448469523</v>
      </c>
      <c r="N48">
        <f t="shared" si="32"/>
        <v>1.0541007768441173</v>
      </c>
      <c r="O48">
        <f t="shared" si="32"/>
        <v>1.3662987674015805</v>
      </c>
      <c r="P48">
        <f t="shared" si="32"/>
        <v>1.4305745705589665</v>
      </c>
      <c r="Q48">
        <f t="shared" si="32"/>
        <v>1.3671382408272612</v>
      </c>
      <c r="R48">
        <f t="shared" si="32"/>
        <v>1.2503480241731695</v>
      </c>
      <c r="S48">
        <f t="shared" si="32"/>
        <v>1.1114510649096179</v>
      </c>
      <c r="T48">
        <f t="shared" si="32"/>
        <v>0.96799458644744307</v>
      </c>
      <c r="U48">
        <f t="shared" si="32"/>
        <v>0.8303739463675146</v>
      </c>
      <c r="V48">
        <f t="shared" si="32"/>
        <v>0.70420980364831687</v>
      </c>
      <c r="W48">
        <f t="shared" si="32"/>
        <v>0.59199933666281646</v>
      </c>
      <c r="X48">
        <f t="shared" si="32"/>
        <v>0.49430019659962043</v>
      </c>
      <c r="Y48">
        <f t="shared" si="32"/>
        <v>0.41054167304639055</v>
      </c>
      <c r="Z48">
        <f t="shared" si="32"/>
        <v>0.33955779835745425</v>
      </c>
      <c r="AA48">
        <f t="shared" si="32"/>
        <v>0.27992424171772484</v>
      </c>
      <c r="AB48">
        <f t="shared" si="32"/>
        <v>0.2301620201107196</v>
      </c>
      <c r="AC48">
        <f t="shared" si="32"/>
        <v>0.1888535580750976</v>
      </c>
      <c r="AD48">
        <f t="shared" si="32"/>
        <v>0.15470270735242661</v>
      </c>
      <c r="AE48">
        <f t="shared" si="32"/>
        <v>0.12656005701473991</v>
      </c>
      <c r="AF48">
        <f t="shared" si="32"/>
        <v>0.10342759407565663</v>
      </c>
      <c r="AG48">
        <f t="shared" si="32"/>
        <v>8.4451778903057051E-2</v>
      </c>
      <c r="AH48">
        <f t="shared" si="32"/>
        <v>6.8910740918212574E-2</v>
      </c>
      <c r="AI48">
        <f t="shared" si="32"/>
        <v>0.30113892874915177</v>
      </c>
    </row>
    <row r="49" spans="1:19">
      <c r="A49" s="1"/>
      <c r="B49" s="1"/>
      <c r="F49" t="s">
        <v>86</v>
      </c>
      <c r="G49" s="31">
        <f>G41/G55</f>
        <v>0.98242354061746417</v>
      </c>
      <c r="H49" s="31">
        <f t="shared" ref="H49:I49" si="33">H41/H55</f>
        <v>1.6087832792216308</v>
      </c>
      <c r="I49" s="31">
        <f t="shared" si="33"/>
        <v>1</v>
      </c>
    </row>
    <row r="50" spans="1:19">
      <c r="A50" s="23" t="s">
        <v>88</v>
      </c>
      <c r="B50" s="35">
        <f>f1_*phi_q1</f>
        <v>0.40015602382914311</v>
      </c>
      <c r="C50">
        <f>AVERAGE(B50:B52)/B50</f>
        <v>0.84252523285455416</v>
      </c>
    </row>
    <row r="51" spans="1:19">
      <c r="A51" s="23" t="s">
        <v>89</v>
      </c>
      <c r="B51" s="35">
        <f>f2_*phi_q2</f>
        <v>0.30736885882401249</v>
      </c>
      <c r="C51">
        <f>AVERAGE(B50:B52)/B51</f>
        <v>1.0968630603786558</v>
      </c>
      <c r="G51" t="s">
        <v>70</v>
      </c>
    </row>
    <row r="52" spans="1:19">
      <c r="A52" s="23" t="s">
        <v>90</v>
      </c>
      <c r="B52" s="35">
        <f>f3_*phi_q3</f>
        <v>0.30389975881124826</v>
      </c>
      <c r="C52">
        <f>AVERAGE(B50:B52)/B52</f>
        <v>1.1093840563532644</v>
      </c>
      <c r="G52" s="1">
        <f>G39^0.5</f>
        <v>10.442272584152716</v>
      </c>
      <c r="H52" s="1">
        <f>H40^0.5</f>
        <v>6.7372142795576391</v>
      </c>
      <c r="I52" s="11">
        <f>I41^0.5</f>
        <v>10.476459039490436</v>
      </c>
    </row>
    <row r="53" spans="1:19">
      <c r="A53" s="29" t="s">
        <v>91</v>
      </c>
      <c r="B53" s="34">
        <f>phi_t1*f1_</f>
        <v>7.0362670162942689E-2</v>
      </c>
      <c r="C53">
        <f>AVERAGE(B53:B55)/B53</f>
        <v>1.0000096161074239</v>
      </c>
      <c r="G53">
        <f t="shared" ref="G53:I55" si="34">G$52*$J53</f>
        <v>109.04105672174745</v>
      </c>
      <c r="H53">
        <f t="shared" si="34"/>
        <v>70.351827964986924</v>
      </c>
      <c r="I53">
        <f t="shared" si="34"/>
        <v>109.39804100706988</v>
      </c>
      <c r="J53">
        <f t="array" ref="J53:J55">TRANSPOSE(G52:I52)</f>
        <v>10.442272584152716</v>
      </c>
    </row>
    <row r="54" spans="1:19">
      <c r="A54" s="29" t="s">
        <v>92</v>
      </c>
      <c r="B54" s="34">
        <f>phi_t2*f2_</f>
        <v>7.036263747350853E-2</v>
      </c>
      <c r="C54">
        <f>AVERAGE(B53:B55)/B54</f>
        <v>1.0000100806970085</v>
      </c>
      <c r="G54">
        <f t="shared" si="34"/>
        <v>70.351827964986924</v>
      </c>
      <c r="H54">
        <f t="shared" si="34"/>
        <v>45.390056248675357</v>
      </c>
      <c r="I54">
        <f t="shared" si="34"/>
        <v>70.582149440055673</v>
      </c>
      <c r="J54">
        <v>6.7372142795576391</v>
      </c>
    </row>
    <row r="55" spans="1:19">
      <c r="A55" s="29" t="s">
        <v>93</v>
      </c>
      <c r="B55" s="34">
        <f>phi_t3*f3_</f>
        <v>7.0364732697361626E-2</v>
      </c>
      <c r="C55">
        <f>AVERAGE(B53:B55)/B55</f>
        <v>0.99998030377760438</v>
      </c>
      <c r="G55">
        <f t="shared" si="34"/>
        <v>109.39804100706988</v>
      </c>
      <c r="H55">
        <f t="shared" si="34"/>
        <v>70.582149440055673</v>
      </c>
      <c r="I55">
        <f t="shared" si="34"/>
        <v>109.75619400612086</v>
      </c>
      <c r="J55">
        <v>10.476459039490436</v>
      </c>
      <c r="S55" s="33"/>
    </row>
  </sheetData>
  <phoneticPr fontId="5" type="noConversion"/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'Proof of Concept'!K46:AI46</xm:f>
              <xm:sqref>J46</xm:sqref>
            </x14:sparkline>
            <x14:sparkline>
              <xm:f>'Proof of Concept'!K47:AI47</xm:f>
              <xm:sqref>J47</xm:sqref>
            </x14:sparkline>
            <x14:sparkline>
              <xm:f>'Proof of Concept'!K48:AI48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'Proof of Concept'!K35:AI35</xm:f>
              <xm:sqref>J35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'Proof of Concept'!K18:AI18</xm:f>
              <xm:sqref>J18</xm:sqref>
            </x14:sparkline>
            <x14:sparkline>
              <xm:f>'Proof of Concept'!K19:AI19</xm:f>
              <xm:sqref>J19</xm:sqref>
            </x14:sparkline>
            <x14:sparkline>
              <xm:f>'Proof of Concept'!K20:AI20</xm:f>
              <xm:sqref>J20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Proof of Concept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Martell</dc:creator>
  <cp:lastModifiedBy>Steve Martell</cp:lastModifiedBy>
  <cp:lastPrinted>2015-07-22T03:14:25Z</cp:lastPrinted>
  <dcterms:created xsi:type="dcterms:W3CDTF">2015-07-22T00:09:03Z</dcterms:created>
  <dcterms:modified xsi:type="dcterms:W3CDTF">2015-07-28T18:05:51Z</dcterms:modified>
</cp:coreProperties>
</file>