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0" yWindow="2480" windowWidth="51200" windowHeight="28260" tabRatio="500"/>
  </bookViews>
  <sheets>
    <sheet name="Proof of Concept" sheetId="1" r:id="rId1"/>
  </sheets>
  <definedNames>
    <definedName name="age">'Proof of Concept'!$K$3:$AI$3</definedName>
    <definedName name="ah">'Proof of Concept'!$G$18:$G$20</definedName>
    <definedName name="Bo">'Proof of Concept'!$B$18</definedName>
    <definedName name="daq21_">'Proof of Concept'!$K$38:$AI$38</definedName>
    <definedName name="dlz1_">'Proof of Concept'!$K$31:$AI$31</definedName>
    <definedName name="dlz2_">'Proof of Concept'!$K$32:$AI$32</definedName>
    <definedName name="dlz3_">'Proof of Concept'!$K$33:$AI$33</definedName>
    <definedName name="dmr">'Proof of Concept'!$F$18:$F$20</definedName>
    <definedName name="dphif" localSheetId="0">'Proof of Concept'!$G$31:$G$33</definedName>
    <definedName name="dqa1_">'Proof of Concept'!$K$35:$AI$35</definedName>
    <definedName name="dqa11_">'Proof of Concept'!$K$35:$AI$35</definedName>
    <definedName name="dqa12_">'Proof of Concept'!$K$40:$AI$40</definedName>
    <definedName name="dqa13_">'Proof of Concept'!$K$42:$AI$42</definedName>
    <definedName name="dqa2_">'Proof of Concept'!$K$36:$AI$36</definedName>
    <definedName name="dqa21_">'Proof of Concept'!$K$38:$AI$38</definedName>
    <definedName name="dqa22_">'Proof of Concept'!$K$36:$AI$36</definedName>
    <definedName name="dqa23_">'Proof of Concept'!$K$43:$AI$43</definedName>
    <definedName name="dqa3_">'Proof of Concept'!$K$37:$AI$37</definedName>
    <definedName name="dqa31_">'Proof of Concept'!$K$39:$AI$39</definedName>
    <definedName name="dqa32_">'Proof of Concept'!$K$41:$AI$41</definedName>
    <definedName name="dqa33_">'Proof of Concept'!$K$37:$AI$37</definedName>
    <definedName name="dre">'Proof of Concept'!$H$31:$H$33</definedName>
    <definedName name="f1_">'Proof of Concept'!$B$27</definedName>
    <definedName name="f2_">'Proof of Concept'!$B$28</definedName>
    <definedName name="f3_">'Proof of Concept'!$B$29</definedName>
    <definedName name="flt1_">'Proof of Concept'!$K$18:$AI$18</definedName>
    <definedName name="flt2_">'Proof of Concept'!$K$19:$AI$19</definedName>
    <definedName name="flt3_">'Proof of Concept'!$K$20:$AI$20</definedName>
    <definedName name="g">'Proof of Concept'!$I$18:$I$20</definedName>
    <definedName name="gamma">'Proof of Concept'!$I$18:$I$20</definedName>
    <definedName name="gh">'Proof of Concept'!$H$18:$H$20</definedName>
    <definedName name="len">'Proof of Concept'!$K$4:$AI$4</definedName>
    <definedName name="linf">'Proof of Concept'!$B$22</definedName>
    <definedName name="lx">'Proof of Concept'!$K$6:$AI$6</definedName>
    <definedName name="lz">'Proof of Concept'!$K$7:$AI$7</definedName>
    <definedName name="M">'Proof of Concept'!$B$20</definedName>
    <definedName name="ma">'Proof of Concept'!$K$9:$AI$9</definedName>
    <definedName name="oa">'Proof of Concept'!$K$11:$AI$11</definedName>
    <definedName name="phi_q1">'Proof of Concept'!$B$37</definedName>
    <definedName name="phi_q2">'Proof of Concept'!$B$38</definedName>
    <definedName name="phi_q3">'Proof of Concept'!$B$39</definedName>
    <definedName name="phi_t1">'Proof of Concept'!$B$34</definedName>
    <definedName name="phi_t2">'Proof of Concept'!$B$35</definedName>
    <definedName name="phi_t3">'Proof of Concept'!$B$36</definedName>
    <definedName name="phie">'Proof of Concept'!$B$32</definedName>
    <definedName name="phif">'Proof of Concept'!$B$33</definedName>
    <definedName name="qa1_">'Proof of Concept'!$K$22:$AI$22</definedName>
    <definedName name="qa2_">'Proof of Concept'!$K$23:$AI$23</definedName>
    <definedName name="qa3_">'Proof of Concept'!$K$24:$AI$24</definedName>
    <definedName name="re">'Proof of Concept'!$B$43</definedName>
    <definedName name="reck">'Proof of Concept'!$B$19</definedName>
    <definedName name="Ro">'Proof of Concept'!$B$21</definedName>
    <definedName name="sa">'Proof of Concept'!$K$10:$AI$10</definedName>
    <definedName name="slim">'Proof of Concept'!$E$18:$E$20</definedName>
    <definedName name="solver_adj" localSheetId="0" hidden="1">'Proof of Concept'!$B$27,'Proof of Concept'!$B$28,'Proof of Concept'!$B$29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itr" localSheetId="0" hidden="1">2147483647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opt" localSheetId="0" hidden="1">'Proof of Concept'!$C$15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2</definedName>
    <definedName name="spr">'Proof of Concept'!$B$42</definedName>
    <definedName name="sr">'Proof of Concept'!$K$12:$AI$12</definedName>
    <definedName name="ta1_">'Proof of Concept'!$K$26:$AI$26</definedName>
    <definedName name="ta2_">'Proof of Concept'!$K$27:$AI$27</definedName>
    <definedName name="ta3_">'Proof of Concept'!$K$28:$AI$28</definedName>
    <definedName name="vonbk">'Proof of Concept'!$B$23</definedName>
    <definedName name="wa">'Proof of Concept'!$K$5:$AI$5</definedName>
    <definedName name="ye_1">'Proof of Concept'!$B$44</definedName>
    <definedName name="ye_2">'Proof of Concept'!$B$45</definedName>
    <definedName name="ye_3">'Proof of Concept'!$B$46</definedName>
    <definedName name="za">'Proof of Concept'!$K$8:$AI$8</definedName>
  </definedNames>
  <calcPr calcId="140000" iterate="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54" i="1" l="1"/>
  <c r="B53" i="1"/>
  <c r="B52" i="1"/>
  <c r="B21" i="1"/>
  <c r="K8" i="1"/>
  <c r="L7" i="1"/>
  <c r="L8" i="1"/>
  <c r="M7" i="1"/>
  <c r="M8" i="1"/>
  <c r="N7" i="1"/>
  <c r="N8" i="1"/>
  <c r="O7" i="1"/>
  <c r="O8" i="1"/>
  <c r="P7" i="1"/>
  <c r="P8" i="1"/>
  <c r="Q7" i="1"/>
  <c r="Q8" i="1"/>
  <c r="R7" i="1"/>
  <c r="R8" i="1"/>
  <c r="S7" i="1"/>
  <c r="S8" i="1"/>
  <c r="T7" i="1"/>
  <c r="T8" i="1"/>
  <c r="U7" i="1"/>
  <c r="U8" i="1"/>
  <c r="V7" i="1"/>
  <c r="V8" i="1"/>
  <c r="W7" i="1"/>
  <c r="W8" i="1"/>
  <c r="X7" i="1"/>
  <c r="X8" i="1"/>
  <c r="Y7" i="1"/>
  <c r="Y8" i="1"/>
  <c r="Z7" i="1"/>
  <c r="Z8" i="1"/>
  <c r="AA7" i="1"/>
  <c r="AA8" i="1"/>
  <c r="AB7" i="1"/>
  <c r="AB8" i="1"/>
  <c r="AC7" i="1"/>
  <c r="AC8" i="1"/>
  <c r="AD7" i="1"/>
  <c r="AD8" i="1"/>
  <c r="AE7" i="1"/>
  <c r="AE8" i="1"/>
  <c r="AF7" i="1"/>
  <c r="AF8" i="1"/>
  <c r="AG7" i="1"/>
  <c r="AG8" i="1"/>
  <c r="AH7" i="1"/>
  <c r="AH8" i="1"/>
  <c r="AI8" i="1"/>
  <c r="AI7" i="1"/>
  <c r="B33" i="1"/>
  <c r="B42" i="1"/>
  <c r="B43" i="1"/>
  <c r="K12" i="1"/>
  <c r="K18" i="1"/>
  <c r="L12" i="1"/>
  <c r="L18" i="1"/>
  <c r="M12" i="1"/>
  <c r="M18" i="1"/>
  <c r="N12" i="1"/>
  <c r="N18" i="1"/>
  <c r="O12" i="1"/>
  <c r="O18" i="1"/>
  <c r="P12" i="1"/>
  <c r="P18" i="1"/>
  <c r="Q12" i="1"/>
  <c r="Q18" i="1"/>
  <c r="R12" i="1"/>
  <c r="R18" i="1"/>
  <c r="S12" i="1"/>
  <c r="S18" i="1"/>
  <c r="T12" i="1"/>
  <c r="T18" i="1"/>
  <c r="U12" i="1"/>
  <c r="U18" i="1"/>
  <c r="V12" i="1"/>
  <c r="V18" i="1"/>
  <c r="W12" i="1"/>
  <c r="W18" i="1"/>
  <c r="X12" i="1"/>
  <c r="X18" i="1"/>
  <c r="Y12" i="1"/>
  <c r="Y18" i="1"/>
  <c r="Z12" i="1"/>
  <c r="Z18" i="1"/>
  <c r="AA12" i="1"/>
  <c r="AA18" i="1"/>
  <c r="AB12" i="1"/>
  <c r="AB18" i="1"/>
  <c r="AC12" i="1"/>
  <c r="AC18" i="1"/>
  <c r="AD12" i="1"/>
  <c r="AD18" i="1"/>
  <c r="AE12" i="1"/>
  <c r="AE18" i="1"/>
  <c r="AF12" i="1"/>
  <c r="AF18" i="1"/>
  <c r="AG12" i="1"/>
  <c r="AG18" i="1"/>
  <c r="AH12" i="1"/>
  <c r="AH18" i="1"/>
  <c r="AI12" i="1"/>
  <c r="AI18" i="1"/>
  <c r="U53" i="1"/>
  <c r="U54" i="1"/>
  <c r="U57" i="1"/>
  <c r="U55" i="1"/>
  <c r="T57" i="1"/>
  <c r="T54" i="1"/>
  <c r="T55" i="1"/>
  <c r="T53" i="1"/>
  <c r="S57" i="1"/>
  <c r="S55" i="1"/>
  <c r="L10" i="1"/>
  <c r="K10" i="1"/>
  <c r="L31" i="1"/>
  <c r="M10" i="1"/>
  <c r="M31" i="1"/>
  <c r="N10" i="1"/>
  <c r="N31" i="1"/>
  <c r="O10" i="1"/>
  <c r="O31" i="1"/>
  <c r="P10" i="1"/>
  <c r="P31" i="1"/>
  <c r="Q10" i="1"/>
  <c r="Q31" i="1"/>
  <c r="R10" i="1"/>
  <c r="R31" i="1"/>
  <c r="S10" i="1"/>
  <c r="S31" i="1"/>
  <c r="T10" i="1"/>
  <c r="T31" i="1"/>
  <c r="U10" i="1"/>
  <c r="U31" i="1"/>
  <c r="V10" i="1"/>
  <c r="V31" i="1"/>
  <c r="W10" i="1"/>
  <c r="W31" i="1"/>
  <c r="X10" i="1"/>
  <c r="X31" i="1"/>
  <c r="Y10" i="1"/>
  <c r="Y31" i="1"/>
  <c r="Z10" i="1"/>
  <c r="Z31" i="1"/>
  <c r="AA10" i="1"/>
  <c r="AA31" i="1"/>
  <c r="AB10" i="1"/>
  <c r="AB31" i="1"/>
  <c r="AC10" i="1"/>
  <c r="AC31" i="1"/>
  <c r="AD10" i="1"/>
  <c r="AD31" i="1"/>
  <c r="AE10" i="1"/>
  <c r="AE31" i="1"/>
  <c r="AF10" i="1"/>
  <c r="AF31" i="1"/>
  <c r="AG10" i="1"/>
  <c r="AG31" i="1"/>
  <c r="AH10" i="1"/>
  <c r="AH31" i="1"/>
  <c r="AI10" i="1"/>
  <c r="AI11" i="1"/>
  <c r="AI31" i="1"/>
  <c r="K22" i="1"/>
  <c r="K11" i="1"/>
  <c r="K35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B23" i="1"/>
  <c r="K4" i="1"/>
  <c r="K20" i="1"/>
  <c r="L4" i="1"/>
  <c r="L20" i="1"/>
  <c r="M4" i="1"/>
  <c r="M20" i="1"/>
  <c r="N4" i="1"/>
  <c r="N20" i="1"/>
  <c r="O4" i="1"/>
  <c r="O20" i="1"/>
  <c r="P4" i="1"/>
  <c r="P20" i="1"/>
  <c r="Q4" i="1"/>
  <c r="Q20" i="1"/>
  <c r="R4" i="1"/>
  <c r="R20" i="1"/>
  <c r="S4" i="1"/>
  <c r="S20" i="1"/>
  <c r="T4" i="1"/>
  <c r="T20" i="1"/>
  <c r="U4" i="1"/>
  <c r="U20" i="1"/>
  <c r="V4" i="1"/>
  <c r="V20" i="1"/>
  <c r="W4" i="1"/>
  <c r="W20" i="1"/>
  <c r="X4" i="1"/>
  <c r="X20" i="1"/>
  <c r="Y4" i="1"/>
  <c r="Y20" i="1"/>
  <c r="Z4" i="1"/>
  <c r="Z20" i="1"/>
  <c r="AA4" i="1"/>
  <c r="AA20" i="1"/>
  <c r="AB4" i="1"/>
  <c r="AB20" i="1"/>
  <c r="AC4" i="1"/>
  <c r="AC20" i="1"/>
  <c r="AD4" i="1"/>
  <c r="AD20" i="1"/>
  <c r="AE4" i="1"/>
  <c r="AE20" i="1"/>
  <c r="AF4" i="1"/>
  <c r="AF20" i="1"/>
  <c r="AG4" i="1"/>
  <c r="AG20" i="1"/>
  <c r="AH4" i="1"/>
  <c r="AH20" i="1"/>
  <c r="AI4" i="1"/>
  <c r="AI20" i="1"/>
  <c r="L5" i="1"/>
  <c r="M5" i="1"/>
  <c r="N5" i="1"/>
  <c r="O5" i="1"/>
  <c r="P5" i="1"/>
  <c r="Q5" i="1"/>
  <c r="R5" i="1"/>
  <c r="S5" i="1"/>
  <c r="T5" i="1"/>
  <c r="U5" i="1"/>
  <c r="V5" i="1"/>
  <c r="W5" i="1"/>
  <c r="X5" i="1"/>
  <c r="Y5" i="1"/>
  <c r="Z5" i="1"/>
  <c r="AA5" i="1"/>
  <c r="AB5" i="1"/>
  <c r="AC5" i="1"/>
  <c r="AD5" i="1"/>
  <c r="AE5" i="1"/>
  <c r="AF5" i="1"/>
  <c r="AG5" i="1"/>
  <c r="AH5" i="1"/>
  <c r="AI5" i="1"/>
  <c r="K5" i="1"/>
  <c r="K7" i="1"/>
  <c r="K26" i="1"/>
  <c r="L23" i="1"/>
  <c r="L47" i="1"/>
  <c r="M23" i="1"/>
  <c r="M47" i="1"/>
  <c r="N23" i="1"/>
  <c r="N47" i="1"/>
  <c r="O23" i="1"/>
  <c r="O47" i="1"/>
  <c r="P23" i="1"/>
  <c r="P47" i="1"/>
  <c r="Q23" i="1"/>
  <c r="Q47" i="1"/>
  <c r="R23" i="1"/>
  <c r="R47" i="1"/>
  <c r="S23" i="1"/>
  <c r="S47" i="1"/>
  <c r="T23" i="1"/>
  <c r="T47" i="1"/>
  <c r="U23" i="1"/>
  <c r="U47" i="1"/>
  <c r="V23" i="1"/>
  <c r="V47" i="1"/>
  <c r="W23" i="1"/>
  <c r="W47" i="1"/>
  <c r="X23" i="1"/>
  <c r="X47" i="1"/>
  <c r="Y23" i="1"/>
  <c r="Y47" i="1"/>
  <c r="Z23" i="1"/>
  <c r="Z47" i="1"/>
  <c r="AA23" i="1"/>
  <c r="AA47" i="1"/>
  <c r="AB23" i="1"/>
  <c r="AB47" i="1"/>
  <c r="AC23" i="1"/>
  <c r="AC47" i="1"/>
  <c r="AD23" i="1"/>
  <c r="AD47" i="1"/>
  <c r="AE23" i="1"/>
  <c r="AE47" i="1"/>
  <c r="AF23" i="1"/>
  <c r="AF47" i="1"/>
  <c r="AG23" i="1"/>
  <c r="AG47" i="1"/>
  <c r="AH23" i="1"/>
  <c r="AH47" i="1"/>
  <c r="AI23" i="1"/>
  <c r="AI47" i="1"/>
  <c r="L24" i="1"/>
  <c r="L48" i="1"/>
  <c r="M24" i="1"/>
  <c r="M48" i="1"/>
  <c r="N24" i="1"/>
  <c r="N48" i="1"/>
  <c r="O24" i="1"/>
  <c r="O48" i="1"/>
  <c r="P24" i="1"/>
  <c r="P48" i="1"/>
  <c r="Q24" i="1"/>
  <c r="Q48" i="1"/>
  <c r="R24" i="1"/>
  <c r="R48" i="1"/>
  <c r="S24" i="1"/>
  <c r="S48" i="1"/>
  <c r="T24" i="1"/>
  <c r="T48" i="1"/>
  <c r="U24" i="1"/>
  <c r="U48" i="1"/>
  <c r="V24" i="1"/>
  <c r="V48" i="1"/>
  <c r="W24" i="1"/>
  <c r="W48" i="1"/>
  <c r="X24" i="1"/>
  <c r="X48" i="1"/>
  <c r="Y24" i="1"/>
  <c r="Y48" i="1"/>
  <c r="Z24" i="1"/>
  <c r="Z48" i="1"/>
  <c r="AA24" i="1"/>
  <c r="AA48" i="1"/>
  <c r="AB24" i="1"/>
  <c r="AB48" i="1"/>
  <c r="AC24" i="1"/>
  <c r="AC48" i="1"/>
  <c r="AD24" i="1"/>
  <c r="AD48" i="1"/>
  <c r="AE24" i="1"/>
  <c r="AE48" i="1"/>
  <c r="AF24" i="1"/>
  <c r="AF48" i="1"/>
  <c r="AG24" i="1"/>
  <c r="AG48" i="1"/>
  <c r="AH24" i="1"/>
  <c r="AH48" i="1"/>
  <c r="AI24" i="1"/>
  <c r="AI48" i="1"/>
  <c r="K24" i="1"/>
  <c r="K48" i="1"/>
  <c r="K23" i="1"/>
  <c r="K47" i="1"/>
  <c r="L22" i="1"/>
  <c r="L46" i="1"/>
  <c r="M22" i="1"/>
  <c r="M46" i="1"/>
  <c r="N22" i="1"/>
  <c r="N46" i="1"/>
  <c r="O22" i="1"/>
  <c r="O46" i="1"/>
  <c r="P22" i="1"/>
  <c r="P46" i="1"/>
  <c r="Q22" i="1"/>
  <c r="Q46" i="1"/>
  <c r="R22" i="1"/>
  <c r="R46" i="1"/>
  <c r="S22" i="1"/>
  <c r="S46" i="1"/>
  <c r="T22" i="1"/>
  <c r="T46" i="1"/>
  <c r="U22" i="1"/>
  <c r="U46" i="1"/>
  <c r="V22" i="1"/>
  <c r="V46" i="1"/>
  <c r="W22" i="1"/>
  <c r="W46" i="1"/>
  <c r="X22" i="1"/>
  <c r="X46" i="1"/>
  <c r="Y22" i="1"/>
  <c r="Y46" i="1"/>
  <c r="Z22" i="1"/>
  <c r="Z46" i="1"/>
  <c r="AA22" i="1"/>
  <c r="AA46" i="1"/>
  <c r="AB22" i="1"/>
  <c r="AB46" i="1"/>
  <c r="AC22" i="1"/>
  <c r="AC46" i="1"/>
  <c r="AD22" i="1"/>
  <c r="AD46" i="1"/>
  <c r="AE22" i="1"/>
  <c r="AE46" i="1"/>
  <c r="AF22" i="1"/>
  <c r="AF46" i="1"/>
  <c r="AG22" i="1"/>
  <c r="AG46" i="1"/>
  <c r="AH22" i="1"/>
  <c r="AH46" i="1"/>
  <c r="AI22" i="1"/>
  <c r="AI46" i="1"/>
  <c r="K46" i="1"/>
  <c r="K38" i="1"/>
  <c r="L11" i="1"/>
  <c r="L38" i="1"/>
  <c r="M11" i="1"/>
  <c r="M38" i="1"/>
  <c r="N11" i="1"/>
  <c r="N38" i="1"/>
  <c r="O11" i="1"/>
  <c r="O38" i="1"/>
  <c r="P11" i="1"/>
  <c r="P38" i="1"/>
  <c r="Q11" i="1"/>
  <c r="Q38" i="1"/>
  <c r="R11" i="1"/>
  <c r="R38" i="1"/>
  <c r="S11" i="1"/>
  <c r="S38" i="1"/>
  <c r="T11" i="1"/>
  <c r="T38" i="1"/>
  <c r="U11" i="1"/>
  <c r="U38" i="1"/>
  <c r="V11" i="1"/>
  <c r="V38" i="1"/>
  <c r="W11" i="1"/>
  <c r="W38" i="1"/>
  <c r="X11" i="1"/>
  <c r="X38" i="1"/>
  <c r="Y11" i="1"/>
  <c r="Y38" i="1"/>
  <c r="Z11" i="1"/>
  <c r="Z38" i="1"/>
  <c r="AA11" i="1"/>
  <c r="AA38" i="1"/>
  <c r="AB11" i="1"/>
  <c r="AB38" i="1"/>
  <c r="K39" i="1"/>
  <c r="L39" i="1"/>
  <c r="M39" i="1"/>
  <c r="N39" i="1"/>
  <c r="O39" i="1"/>
  <c r="P39" i="1"/>
  <c r="Q39" i="1"/>
  <c r="R39" i="1"/>
  <c r="S39" i="1"/>
  <c r="T39" i="1"/>
  <c r="U39" i="1"/>
  <c r="V39" i="1"/>
  <c r="W39" i="1"/>
  <c r="X39" i="1"/>
  <c r="Y39" i="1"/>
  <c r="Z39" i="1"/>
  <c r="AA39" i="1"/>
  <c r="AB39" i="1"/>
  <c r="K40" i="1"/>
  <c r="L40" i="1"/>
  <c r="M40" i="1"/>
  <c r="N40" i="1"/>
  <c r="O40" i="1"/>
  <c r="P40" i="1"/>
  <c r="Q40" i="1"/>
  <c r="R40" i="1"/>
  <c r="S40" i="1"/>
  <c r="T40" i="1"/>
  <c r="U40" i="1"/>
  <c r="V40" i="1"/>
  <c r="W40" i="1"/>
  <c r="X40" i="1"/>
  <c r="Y40" i="1"/>
  <c r="Z40" i="1"/>
  <c r="AA40" i="1"/>
  <c r="AB40" i="1"/>
  <c r="K41" i="1"/>
  <c r="L41" i="1"/>
  <c r="M41" i="1"/>
  <c r="N41" i="1"/>
  <c r="O41" i="1"/>
  <c r="P41" i="1"/>
  <c r="Q41" i="1"/>
  <c r="R41" i="1"/>
  <c r="S41" i="1"/>
  <c r="T41" i="1"/>
  <c r="U41" i="1"/>
  <c r="V41" i="1"/>
  <c r="W41" i="1"/>
  <c r="X41" i="1"/>
  <c r="Y41" i="1"/>
  <c r="Z41" i="1"/>
  <c r="AA41" i="1"/>
  <c r="AB41" i="1"/>
  <c r="K42" i="1"/>
  <c r="L42" i="1"/>
  <c r="M42" i="1"/>
  <c r="N42" i="1"/>
  <c r="O42" i="1"/>
  <c r="P42" i="1"/>
  <c r="Q42" i="1"/>
  <c r="R42" i="1"/>
  <c r="S42" i="1"/>
  <c r="T42" i="1"/>
  <c r="U42" i="1"/>
  <c r="V42" i="1"/>
  <c r="W42" i="1"/>
  <c r="X42" i="1"/>
  <c r="Y42" i="1"/>
  <c r="Z42" i="1"/>
  <c r="AA42" i="1"/>
  <c r="AB42" i="1"/>
  <c r="K43" i="1"/>
  <c r="L43" i="1"/>
  <c r="M43" i="1"/>
  <c r="N43" i="1"/>
  <c r="O43" i="1"/>
  <c r="P43" i="1"/>
  <c r="Q43" i="1"/>
  <c r="R43" i="1"/>
  <c r="S43" i="1"/>
  <c r="T43" i="1"/>
  <c r="U43" i="1"/>
  <c r="V43" i="1"/>
  <c r="W43" i="1"/>
  <c r="X43" i="1"/>
  <c r="Y43" i="1"/>
  <c r="Z43" i="1"/>
  <c r="AA43" i="1"/>
  <c r="AB43" i="1"/>
  <c r="AD11" i="1"/>
  <c r="AD38" i="1"/>
  <c r="AE11" i="1"/>
  <c r="AE38" i="1"/>
  <c r="AF11" i="1"/>
  <c r="AF38" i="1"/>
  <c r="AG11" i="1"/>
  <c r="AG38" i="1"/>
  <c r="AH11" i="1"/>
  <c r="AH38" i="1"/>
  <c r="AI38" i="1"/>
  <c r="AD39" i="1"/>
  <c r="AE39" i="1"/>
  <c r="AF39" i="1"/>
  <c r="AG39" i="1"/>
  <c r="AH39" i="1"/>
  <c r="AI39" i="1"/>
  <c r="AD40" i="1"/>
  <c r="AE40" i="1"/>
  <c r="AF40" i="1"/>
  <c r="AG40" i="1"/>
  <c r="AH40" i="1"/>
  <c r="AI40" i="1"/>
  <c r="AD41" i="1"/>
  <c r="AE41" i="1"/>
  <c r="AF41" i="1"/>
  <c r="AG41" i="1"/>
  <c r="AH41" i="1"/>
  <c r="AI41" i="1"/>
  <c r="AD42" i="1"/>
  <c r="AE42" i="1"/>
  <c r="AF42" i="1"/>
  <c r="AG42" i="1"/>
  <c r="AH42" i="1"/>
  <c r="AI42" i="1"/>
  <c r="AD43" i="1"/>
  <c r="AE43" i="1"/>
  <c r="AF43" i="1"/>
  <c r="AG43" i="1"/>
  <c r="AH43" i="1"/>
  <c r="AI43" i="1"/>
  <c r="AC11" i="1"/>
  <c r="AC39" i="1"/>
  <c r="AC38" i="1"/>
  <c r="AC43" i="1"/>
  <c r="AC42" i="1"/>
  <c r="AC41" i="1"/>
  <c r="AC40" i="1"/>
  <c r="I36" i="1"/>
  <c r="H37" i="1"/>
  <c r="G37" i="1"/>
  <c r="H35" i="1"/>
  <c r="I35" i="1"/>
  <c r="K37" i="1"/>
  <c r="L37" i="1"/>
  <c r="M37" i="1"/>
  <c r="N37" i="1"/>
  <c r="O37" i="1"/>
  <c r="P37" i="1"/>
  <c r="Q37" i="1"/>
  <c r="R37" i="1"/>
  <c r="S37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I37" i="1"/>
  <c r="K36" i="1"/>
  <c r="L36" i="1"/>
  <c r="M36" i="1"/>
  <c r="N36" i="1"/>
  <c r="O36" i="1"/>
  <c r="P36" i="1"/>
  <c r="Q36" i="1"/>
  <c r="R36" i="1"/>
  <c r="S36" i="1"/>
  <c r="T36" i="1"/>
  <c r="U36" i="1"/>
  <c r="V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AI36" i="1"/>
  <c r="H36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G35" i="1"/>
  <c r="G36" i="1"/>
  <c r="L33" i="1"/>
  <c r="M33" i="1"/>
  <c r="N33" i="1"/>
  <c r="O33" i="1"/>
  <c r="P33" i="1"/>
  <c r="Q33" i="1"/>
  <c r="R33" i="1"/>
  <c r="S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G33" i="1"/>
  <c r="L32" i="1"/>
  <c r="M32" i="1"/>
  <c r="N32" i="1"/>
  <c r="O32" i="1"/>
  <c r="P32" i="1"/>
  <c r="Q32" i="1"/>
  <c r="R32" i="1"/>
  <c r="S32" i="1"/>
  <c r="T32" i="1"/>
  <c r="U32" i="1"/>
  <c r="V32" i="1"/>
  <c r="W32" i="1"/>
  <c r="X32" i="1"/>
  <c r="Y32" i="1"/>
  <c r="Z32" i="1"/>
  <c r="AA32" i="1"/>
  <c r="AB32" i="1"/>
  <c r="AC32" i="1"/>
  <c r="AD32" i="1"/>
  <c r="AE32" i="1"/>
  <c r="AF32" i="1"/>
  <c r="AG32" i="1"/>
  <c r="AH32" i="1"/>
  <c r="AI32" i="1"/>
  <c r="G32" i="1"/>
  <c r="G31" i="1"/>
  <c r="B13" i="1"/>
  <c r="B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K28" i="1"/>
  <c r="K27" i="1"/>
  <c r="AI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K6" i="1"/>
  <c r="B32" i="1"/>
  <c r="H32" i="1"/>
  <c r="H31" i="1"/>
  <c r="H33" i="1"/>
  <c r="C7" i="1"/>
  <c r="C14" i="1"/>
  <c r="B37" i="1"/>
  <c r="G39" i="1"/>
  <c r="G52" i="1"/>
  <c r="J53" i="1" a="1"/>
  <c r="J53" i="1"/>
  <c r="G53" i="1"/>
  <c r="G47" i="1"/>
  <c r="G41" i="1"/>
  <c r="B39" i="1"/>
  <c r="I41" i="1"/>
  <c r="I52" i="1"/>
  <c r="J55" i="1"/>
  <c r="G55" i="1"/>
  <c r="G49" i="1"/>
  <c r="I39" i="1"/>
  <c r="B44" i="1"/>
  <c r="B38" i="1"/>
  <c r="B45" i="1"/>
  <c r="B46" i="1"/>
  <c r="B47" i="1"/>
  <c r="H39" i="1"/>
  <c r="H40" i="1"/>
  <c r="H52" i="1"/>
  <c r="J54" i="1"/>
  <c r="H54" i="1"/>
  <c r="H48" i="1"/>
  <c r="H41" i="1"/>
  <c r="H55" i="1"/>
  <c r="H49" i="1"/>
  <c r="I55" i="1"/>
  <c r="I49" i="1"/>
  <c r="C44" i="1"/>
  <c r="C4" i="1"/>
  <c r="C45" i="1"/>
  <c r="C5" i="1"/>
  <c r="C46" i="1"/>
  <c r="C6" i="1"/>
  <c r="C8" i="1"/>
  <c r="G40" i="1"/>
  <c r="G54" i="1"/>
  <c r="G48" i="1"/>
  <c r="I40" i="1"/>
  <c r="H53" i="1"/>
  <c r="H47" i="1"/>
  <c r="I53" i="1"/>
  <c r="I47" i="1"/>
  <c r="I54" i="1"/>
  <c r="I48" i="1"/>
  <c r="B49" i="1"/>
  <c r="B50" i="1"/>
  <c r="B51" i="1"/>
  <c r="B34" i="1"/>
  <c r="B35" i="1"/>
  <c r="B36" i="1"/>
  <c r="C34" i="1"/>
  <c r="C11" i="1"/>
  <c r="C35" i="1"/>
  <c r="C12" i="1"/>
  <c r="C36" i="1"/>
  <c r="C13" i="1"/>
  <c r="C15" i="1"/>
</calcChain>
</file>

<file path=xl/comments1.xml><?xml version="1.0" encoding="utf-8"?>
<comments xmlns="http://schemas.openxmlformats.org/spreadsheetml/2006/main">
  <authors>
    <author>Steve Martell</author>
  </authors>
  <commentList>
    <comment ref="G48" authorId="0">
      <text>
        <r>
          <rPr>
            <b/>
            <sz val="9"/>
            <color indexed="81"/>
            <rFont val="Palatino Linotype"/>
            <family val="2"/>
          </rPr>
          <t>Steve Martell:</t>
        </r>
        <r>
          <rPr>
            <sz val="9"/>
            <color indexed="81"/>
            <rFont val="Palatino Linotype"/>
            <family val="2"/>
          </rPr>
          <t xml:space="preserve">
</t>
        </r>
        <r>
          <rPr>
            <b/>
            <sz val="9"/>
            <color indexed="81"/>
            <rFont val="Palatino Linotype"/>
            <family val="2"/>
          </rPr>
          <t>What do I mean by mitigation?</t>
        </r>
        <r>
          <rPr>
            <sz val="9"/>
            <color indexed="81"/>
            <rFont val="Palatino Linotype"/>
            <family val="2"/>
          </rPr>
          <t xml:space="preserve">
Eg. For each pound of catch in fishery k, there is a corresponding loss of xx pounds in fishery k'.  If fishery k wants to increase its catch by 1 pound, then fishery k' must reduce its bycatch by 1/xx pounds. (row=k,col=k')</t>
        </r>
      </text>
    </comment>
  </commentList>
</comments>
</file>

<file path=xl/sharedStrings.xml><?xml version="1.0" encoding="utf-8"?>
<sst xmlns="http://schemas.openxmlformats.org/spreadsheetml/2006/main" count="100" uniqueCount="95">
  <si>
    <t>SPR Based PSC Caps</t>
  </si>
  <si>
    <t>Age Schedules</t>
  </si>
  <si>
    <t>age</t>
  </si>
  <si>
    <t>wa</t>
  </si>
  <si>
    <t>Population parameters</t>
  </si>
  <si>
    <t>M</t>
  </si>
  <si>
    <t>lx</t>
  </si>
  <si>
    <t>lz</t>
  </si>
  <si>
    <t>Selectivities</t>
  </si>
  <si>
    <t>ah</t>
  </si>
  <si>
    <t>gh</t>
  </si>
  <si>
    <t>za</t>
  </si>
  <si>
    <t>g</t>
  </si>
  <si>
    <t>Fishing Mortality</t>
  </si>
  <si>
    <t>f1_</t>
  </si>
  <si>
    <t>f2_</t>
  </si>
  <si>
    <t>flt1_</t>
  </si>
  <si>
    <t>flt2_</t>
  </si>
  <si>
    <t>flt3_</t>
  </si>
  <si>
    <t>f3_</t>
  </si>
  <si>
    <t>Bo</t>
  </si>
  <si>
    <t>reck</t>
  </si>
  <si>
    <t>Incidence functions</t>
  </si>
  <si>
    <t>qa1</t>
  </si>
  <si>
    <t>qa2</t>
  </si>
  <si>
    <t>qa3</t>
  </si>
  <si>
    <t>ma</t>
  </si>
  <si>
    <t>phif</t>
  </si>
  <si>
    <t>phie</t>
  </si>
  <si>
    <t>Mortality at age</t>
  </si>
  <si>
    <t>ta1</t>
  </si>
  <si>
    <t>ta2</t>
  </si>
  <si>
    <t>ta3</t>
  </si>
  <si>
    <t>phi_t1</t>
  </si>
  <si>
    <t>phi_t2</t>
  </si>
  <si>
    <t>phi_t3</t>
  </si>
  <si>
    <t>phi_q1</t>
  </si>
  <si>
    <t>phi_q2</t>
  </si>
  <si>
    <t>phi_q3</t>
  </si>
  <si>
    <t>Steady state conditions</t>
  </si>
  <si>
    <t>spr</t>
  </si>
  <si>
    <t>re</t>
  </si>
  <si>
    <t>Ro</t>
  </si>
  <si>
    <t>ye_1</t>
  </si>
  <si>
    <t>ye_2</t>
  </si>
  <si>
    <t>ye_3</t>
  </si>
  <si>
    <t>Fleet</t>
  </si>
  <si>
    <t>Allocation</t>
  </si>
  <si>
    <t>Actual</t>
  </si>
  <si>
    <t>SPR</t>
  </si>
  <si>
    <t>OBJFUN</t>
  </si>
  <si>
    <t>Partial derivatives</t>
  </si>
  <si>
    <t>dlz1</t>
  </si>
  <si>
    <t>dlz2</t>
  </si>
  <si>
    <t>dlz3</t>
  </si>
  <si>
    <t>sa</t>
  </si>
  <si>
    <t>oa</t>
  </si>
  <si>
    <t>dphiq</t>
  </si>
  <si>
    <t>dphif</t>
  </si>
  <si>
    <t>dre</t>
  </si>
  <si>
    <t>dqa21</t>
  </si>
  <si>
    <t>dqa23</t>
  </si>
  <si>
    <t>dqa11</t>
  </si>
  <si>
    <t>dqa22</t>
  </si>
  <si>
    <t>dqa33</t>
  </si>
  <si>
    <t>dqa12</t>
  </si>
  <si>
    <t>dqa31</t>
  </si>
  <si>
    <t>dqa32</t>
  </si>
  <si>
    <t>dqa13</t>
  </si>
  <si>
    <t>dye</t>
  </si>
  <si>
    <t>Mitigation</t>
  </si>
  <si>
    <t>Outer product of dye</t>
  </si>
  <si>
    <t>Vulnerable weight at age</t>
  </si>
  <si>
    <t>Total</t>
  </si>
  <si>
    <t>Total Mortality Rate Allocation</t>
  </si>
  <si>
    <t>Catch Allocation</t>
  </si>
  <si>
    <t>ypr_1</t>
  </si>
  <si>
    <t>ypr_2</t>
  </si>
  <si>
    <t>ypr_3</t>
  </si>
  <si>
    <t>len</t>
  </si>
  <si>
    <t>linf</t>
  </si>
  <si>
    <t>vonbk</t>
  </si>
  <si>
    <t>slim</t>
  </si>
  <si>
    <t>dmr</t>
  </si>
  <si>
    <t>sr</t>
  </si>
  <si>
    <t>F1</t>
  </si>
  <si>
    <t>F2</t>
  </si>
  <si>
    <t>F3</t>
  </si>
  <si>
    <t>Available yield at age</t>
  </si>
  <si>
    <t>ypr1</t>
  </si>
  <si>
    <t>ypr2</t>
  </si>
  <si>
    <t>ypr3</t>
  </si>
  <si>
    <t>mpr1</t>
  </si>
  <si>
    <t>mpr2</t>
  </si>
  <si>
    <t>mpr3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</si>
</sst>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0.000"/>
    <numFmt numFmtId="165" formatCode="0.0000"/>
  </numFmts>
  <fonts count="14" x14ac:knownFonts="1">
    <font>
      <sz val="12"/>
      <color theme="1"/>
      <name val="Palatino Linotype"/>
      <family val="2"/>
      <scheme val="minor"/>
    </font>
    <font>
      <sz val="12"/>
      <color theme="1"/>
      <name val="Palatino Linotype"/>
      <family val="2"/>
      <scheme val="minor"/>
    </font>
    <font>
      <sz val="12"/>
      <color theme="0"/>
      <name val="Palatino Linotype"/>
      <family val="2"/>
      <scheme val="minor"/>
    </font>
    <font>
      <sz val="12"/>
      <color theme="3"/>
      <name val="Palatino Linotype"/>
      <scheme val="minor"/>
    </font>
    <font>
      <sz val="12"/>
      <color theme="6"/>
      <name val="Palatino Linotype"/>
      <scheme val="minor"/>
    </font>
    <font>
      <sz val="8"/>
      <name val="Palatino Linotype"/>
      <family val="2"/>
      <scheme val="minor"/>
    </font>
    <font>
      <u/>
      <sz val="12"/>
      <color theme="10"/>
      <name val="Palatino Linotype"/>
      <family val="2"/>
      <scheme val="minor"/>
    </font>
    <font>
      <u/>
      <sz val="12"/>
      <color theme="11"/>
      <name val="Palatino Linotype"/>
      <family val="2"/>
      <scheme val="minor"/>
    </font>
    <font>
      <sz val="12"/>
      <name val="Palatino Linotype"/>
      <scheme val="minor"/>
    </font>
    <font>
      <sz val="12"/>
      <color theme="5"/>
      <name val="Palatino Linotype"/>
      <scheme val="minor"/>
    </font>
    <font>
      <sz val="12"/>
      <color theme="7"/>
      <name val="Palatino Linotype"/>
      <scheme val="minor"/>
    </font>
    <font>
      <sz val="9"/>
      <color indexed="81"/>
      <name val="Palatino Linotype"/>
      <family val="2"/>
    </font>
    <font>
      <b/>
      <sz val="9"/>
      <color indexed="81"/>
      <name val="Palatino Linotype"/>
      <family val="2"/>
    </font>
    <font>
      <b/>
      <sz val="12"/>
      <color theme="1"/>
      <name val="Palatino Linotype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48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6">
    <xf numFmtId="0" fontId="0" fillId="0" borderId="0" xfId="0"/>
    <xf numFmtId="2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2" fontId="0" fillId="0" borderId="0" xfId="2" applyNumberFormat="1" applyFont="1"/>
    <xf numFmtId="0" fontId="0" fillId="0" borderId="0" xfId="0" applyFont="1"/>
    <xf numFmtId="0" fontId="0" fillId="0" borderId="0" xfId="0" applyFont="1" applyAlignment="1">
      <alignment horizontal="center"/>
    </xf>
    <xf numFmtId="2" fontId="0" fillId="0" borderId="0" xfId="0" applyNumberFormat="1" applyFont="1" applyAlignment="1">
      <alignment horizontal="center"/>
    </xf>
    <xf numFmtId="0" fontId="0" fillId="0" borderId="0" xfId="0" applyAlignment="1">
      <alignment horizontal="right"/>
    </xf>
    <xf numFmtId="2" fontId="0" fillId="0" borderId="0" xfId="1" applyNumberFormat="1" applyFont="1"/>
    <xf numFmtId="10" fontId="4" fillId="0" borderId="0" xfId="0" applyNumberFormat="1" applyFont="1"/>
    <xf numFmtId="2" fontId="0" fillId="0" borderId="0" xfId="0" applyNumberFormat="1" applyFont="1"/>
    <xf numFmtId="0" fontId="2" fillId="4" borderId="0" xfId="5"/>
    <xf numFmtId="0" fontId="2" fillId="6" borderId="0" xfId="7"/>
    <xf numFmtId="0" fontId="2" fillId="2" borderId="0" xfId="3"/>
    <xf numFmtId="2" fontId="2" fillId="5" borderId="0" xfId="6" applyNumberFormat="1"/>
    <xf numFmtId="0" fontId="2" fillId="5" borderId="0" xfId="6"/>
    <xf numFmtId="0" fontId="4" fillId="0" borderId="0" xfId="0" applyFont="1"/>
    <xf numFmtId="9" fontId="4" fillId="0" borderId="0" xfId="2" applyFont="1"/>
    <xf numFmtId="0" fontId="8" fillId="0" borderId="0" xfId="0" applyFont="1" applyAlignment="1">
      <alignment horizontal="right"/>
    </xf>
    <xf numFmtId="10" fontId="9" fillId="0" borderId="0" xfId="2" applyNumberFormat="1" applyFont="1"/>
    <xf numFmtId="0" fontId="10" fillId="0" borderId="0" xfId="0" applyFont="1"/>
    <xf numFmtId="9" fontId="10" fillId="0" borderId="0" xfId="2" applyFont="1"/>
    <xf numFmtId="2" fontId="10" fillId="0" borderId="0" xfId="0" applyNumberFormat="1" applyFont="1"/>
    <xf numFmtId="0" fontId="2" fillId="5" borderId="0" xfId="6" applyAlignment="1">
      <alignment horizontal="left"/>
    </xf>
    <xf numFmtId="9" fontId="8" fillId="0" borderId="0" xfId="2" applyFont="1"/>
    <xf numFmtId="0" fontId="3" fillId="0" borderId="0" xfId="0" applyFont="1"/>
    <xf numFmtId="0" fontId="0" fillId="0" borderId="0" xfId="0" applyFont="1" applyAlignment="1">
      <alignment horizontal="right"/>
    </xf>
    <xf numFmtId="165" fontId="2" fillId="3" borderId="0" xfId="4" applyNumberFormat="1" applyAlignment="1">
      <alignment horizontal="center"/>
    </xf>
    <xf numFmtId="2" fontId="4" fillId="0" borderId="0" xfId="0" applyNumberFormat="1" applyFont="1"/>
    <xf numFmtId="2" fontId="8" fillId="0" borderId="0" xfId="0" applyNumberFormat="1" applyFont="1"/>
    <xf numFmtId="164" fontId="0" fillId="0" borderId="0" xfId="0" applyNumberFormat="1"/>
    <xf numFmtId="0" fontId="2" fillId="6" borderId="1" xfId="7" applyBorder="1"/>
    <xf numFmtId="0" fontId="13" fillId="0" borderId="0" xfId="0" applyFont="1"/>
    <xf numFmtId="164" fontId="4" fillId="0" borderId="0" xfId="0" applyNumberFormat="1" applyFont="1"/>
    <xf numFmtId="164" fontId="10" fillId="0" borderId="0" xfId="0" applyNumberFormat="1" applyFont="1"/>
  </cellXfs>
  <cellStyles count="48">
    <cellStyle name="60% - Accent2" xfId="4" builtinId="36"/>
    <cellStyle name="Accent2" xfId="3" builtinId="33"/>
    <cellStyle name="Accent3" xfId="5" builtinId="37"/>
    <cellStyle name="Accent4" xfId="6" builtinId="41"/>
    <cellStyle name="Accent5" xfId="7" builtinId="45"/>
    <cellStyle name="Comma" xfId="1" builtinId="3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Normal" xfId="0" builtinId="0"/>
    <cellStyle name="Percent" xfId="2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Executive">
  <a:themeElements>
    <a:clrScheme name="Executive">
      <a:dk1>
        <a:sysClr val="windowText" lastClr="000000"/>
      </a:dk1>
      <a:lt1>
        <a:sysClr val="window" lastClr="FFFFFF"/>
      </a:lt1>
      <a:dk2>
        <a:srgbClr val="2F5897"/>
      </a:dk2>
      <a:lt2>
        <a:srgbClr val="E4E9EF"/>
      </a:lt2>
      <a:accent1>
        <a:srgbClr val="6076B4"/>
      </a:accent1>
      <a:accent2>
        <a:srgbClr val="9C5252"/>
      </a:accent2>
      <a:accent3>
        <a:srgbClr val="E68422"/>
      </a:accent3>
      <a:accent4>
        <a:srgbClr val="846648"/>
      </a:accent4>
      <a:accent5>
        <a:srgbClr val="63891F"/>
      </a:accent5>
      <a:accent6>
        <a:srgbClr val="758085"/>
      </a:accent6>
      <a:hlink>
        <a:srgbClr val="3399FF"/>
      </a:hlink>
      <a:folHlink>
        <a:srgbClr val="B2B2B2"/>
      </a:folHlink>
    </a:clrScheme>
    <a:fontScheme name="Executive">
      <a:majorFont>
        <a:latin typeface="Century Gothic"/>
        <a:ea typeface=""/>
        <a:cs typeface=""/>
        <a:font script="Jpan" typeface="ＭＳ ゴシック"/>
        <a:font script="Hang" typeface="HY중고딕"/>
        <a:font script="Hans" typeface="微软雅黑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Palatino Linotype"/>
        <a:ea typeface=""/>
        <a:cs typeface=""/>
        <a:font script="Jpan" typeface="HGS明朝E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Browalli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Executiv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8575" cap="flat" cmpd="sng" algn="ctr">
          <a:solidFill>
            <a:schemeClr val="phClr"/>
          </a:solidFill>
          <a:prstDash val="solid"/>
        </a:ln>
        <a:ln w="50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50000">
              <a:schemeClr val="phClr">
                <a:tint val="80000"/>
                <a:satMod val="250000"/>
              </a:schemeClr>
            </a:gs>
            <a:gs pos="76000">
              <a:schemeClr val="phClr">
                <a:tint val="90000"/>
                <a:shade val="90000"/>
                <a:satMod val="200000"/>
              </a:schemeClr>
            </a:gs>
            <a:gs pos="92000">
              <a:schemeClr val="phClr">
                <a:tint val="90000"/>
                <a:shade val="70000"/>
                <a:satMod val="250000"/>
              </a:schemeClr>
            </a:gs>
          </a:gsLst>
          <a:path path="circle">
            <a:fillToRect l="50000" t="50000" r="50000" b="50000"/>
          </a:path>
        </a:gradFill>
        <a:blipFill>
          <a:blip xmlns:r="http://schemas.openxmlformats.org/officeDocument/2006/relationships" r:embed="rId1">
            <a:duotone>
              <a:schemeClr val="phClr">
                <a:tint val="95000"/>
              </a:schemeClr>
              <a:schemeClr val="phClr">
                <a:shade val="90000"/>
              </a:schemeClr>
            </a:duotone>
          </a:blip>
          <a:tile tx="0" ty="0" sx="100000" sy="100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I57"/>
  <sheetViews>
    <sheetView tabSelected="1" topLeftCell="A17" zoomScale="125" zoomScaleNormal="125" zoomScalePageLayoutView="125" workbookViewId="0">
      <pane xSplit="10" topLeftCell="K1" activePane="topRight" state="frozen"/>
      <selection pane="topRight" activeCell="P53" sqref="P53"/>
    </sheetView>
  </sheetViews>
  <sheetFormatPr baseColWidth="10" defaultRowHeight="18" x14ac:dyDescent="0"/>
  <cols>
    <col min="2" max="2" width="13" bestFit="1" customWidth="1"/>
    <col min="4" max="4" width="2.33203125" customWidth="1"/>
    <col min="5" max="8" width="6.83203125" customWidth="1"/>
    <col min="9" max="9" width="6.83203125" style="5" customWidth="1"/>
    <col min="10" max="10" width="11.5" customWidth="1"/>
    <col min="11" max="11" width="7.83203125" customWidth="1"/>
    <col min="12" max="35" width="6.83203125" customWidth="1"/>
  </cols>
  <sheetData>
    <row r="1" spans="1:35">
      <c r="A1" t="s">
        <v>0</v>
      </c>
    </row>
    <row r="2" spans="1:35">
      <c r="A2" s="24" t="s">
        <v>75</v>
      </c>
      <c r="B2" s="16"/>
      <c r="C2" s="16"/>
      <c r="J2" t="s">
        <v>1</v>
      </c>
    </row>
    <row r="3" spans="1:35">
      <c r="A3" s="27" t="s">
        <v>46</v>
      </c>
      <c r="B3" s="19" t="s">
        <v>47</v>
      </c>
      <c r="C3" s="21" t="s">
        <v>48</v>
      </c>
      <c r="J3" t="s">
        <v>2</v>
      </c>
      <c r="K3">
        <v>1</v>
      </c>
      <c r="L3">
        <v>2</v>
      </c>
      <c r="M3">
        <v>3</v>
      </c>
      <c r="N3">
        <v>4</v>
      </c>
      <c r="O3">
        <v>5</v>
      </c>
      <c r="P3">
        <v>6</v>
      </c>
      <c r="Q3">
        <v>7</v>
      </c>
      <c r="R3">
        <v>8</v>
      </c>
      <c r="S3">
        <v>9</v>
      </c>
      <c r="T3">
        <v>10</v>
      </c>
      <c r="U3">
        <v>11</v>
      </c>
      <c r="V3">
        <v>12</v>
      </c>
      <c r="W3">
        <v>13</v>
      </c>
      <c r="X3">
        <v>14</v>
      </c>
      <c r="Y3">
        <v>15</v>
      </c>
      <c r="Z3">
        <v>16</v>
      </c>
      <c r="AA3">
        <v>17</v>
      </c>
      <c r="AB3">
        <v>18</v>
      </c>
      <c r="AC3">
        <v>19</v>
      </c>
      <c r="AD3">
        <v>20</v>
      </c>
      <c r="AE3">
        <v>21</v>
      </c>
      <c r="AF3">
        <v>22</v>
      </c>
      <c r="AG3">
        <v>23</v>
      </c>
      <c r="AH3">
        <v>24</v>
      </c>
      <c r="AI3">
        <v>25</v>
      </c>
    </row>
    <row r="4" spans="1:35">
      <c r="A4" s="5">
        <v>1</v>
      </c>
      <c r="B4" s="25">
        <v>0.33333000000000002</v>
      </c>
      <c r="C4" s="22">
        <f>$C44</f>
        <v>0.4232805123398507</v>
      </c>
      <c r="J4" t="s">
        <v>79</v>
      </c>
      <c r="K4" s="1">
        <f t="shared" ref="K4:AI4" si="0">linf*(1-EXP(-vonbk*age))</f>
        <v>19.793516300140091</v>
      </c>
      <c r="L4" s="1">
        <f t="shared" si="0"/>
        <v>35.598960092080048</v>
      </c>
      <c r="M4" s="1">
        <f t="shared" si="0"/>
        <v>48.219863304633819</v>
      </c>
      <c r="N4" s="1">
        <f t="shared" si="0"/>
        <v>58.297859215250313</v>
      </c>
      <c r="O4" s="1">
        <f t="shared" si="0"/>
        <v>66.345302402468292</v>
      </c>
      <c r="P4" s="1">
        <f t="shared" si="0"/>
        <v>72.771316307006472</v>
      </c>
      <c r="Q4" s="1">
        <f t="shared" si="0"/>
        <v>77.902592631753492</v>
      </c>
      <c r="R4" s="1">
        <f t="shared" si="0"/>
        <v>82</v>
      </c>
      <c r="S4" s="1">
        <f t="shared" si="0"/>
        <v>85.271846238409012</v>
      </c>
      <c r="T4" s="1">
        <f t="shared" si="0"/>
        <v>87.884468525065458</v>
      </c>
      <c r="U4" s="1">
        <f t="shared" si="0"/>
        <v>89.970689794452838</v>
      </c>
      <c r="V4" s="1">
        <f t="shared" si="0"/>
        <v>91.636571313979459</v>
      </c>
      <c r="W4" s="1">
        <f t="shared" si="0"/>
        <v>92.966804725852967</v>
      </c>
      <c r="X4" s="1">
        <f t="shared" si="0"/>
        <v>94.029017679969584</v>
      </c>
      <c r="Y4" s="1">
        <f t="shared" si="0"/>
        <v>94.877211951608004</v>
      </c>
      <c r="Z4" s="1">
        <f t="shared" si="0"/>
        <v>95.554508834170107</v>
      </c>
      <c r="AA4" s="1">
        <f t="shared" si="0"/>
        <v>96.095341379811089</v>
      </c>
      <c r="AB4" s="1">
        <f t="shared" si="0"/>
        <v>96.527204939138343</v>
      </c>
      <c r="AC4" s="1">
        <f t="shared" si="0"/>
        <v>96.872054995552304</v>
      </c>
      <c r="AD4" s="1">
        <f t="shared" si="0"/>
        <v>97.147423358638946</v>
      </c>
      <c r="AE4" s="1">
        <f t="shared" si="0"/>
        <v>97.367309462696838</v>
      </c>
      <c r="AF4" s="1">
        <f t="shared" si="0"/>
        <v>97.542892083066874</v>
      </c>
      <c r="AG4" s="1">
        <f t="shared" si="0"/>
        <v>97.683097653164623</v>
      </c>
      <c r="AH4" s="1">
        <f t="shared" si="0"/>
        <v>97.795054074848096</v>
      </c>
      <c r="AI4" s="1">
        <f t="shared" si="0"/>
        <v>97.884453093356598</v>
      </c>
    </row>
    <row r="5" spans="1:35">
      <c r="A5" s="5">
        <v>2</v>
      </c>
      <c r="B5" s="25">
        <v>0.33333000000000002</v>
      </c>
      <c r="C5" s="22">
        <f>$C45</f>
        <v>0.15342619826674431</v>
      </c>
      <c r="J5" t="s">
        <v>3</v>
      </c>
      <c r="K5" s="9">
        <f t="shared" ref="K5:AI5" si="1">0.00001*len^3</f>
        <v>7.7547688877270149E-2</v>
      </c>
      <c r="L5" s="9">
        <f t="shared" si="1"/>
        <v>0.45114062302389013</v>
      </c>
      <c r="M5" s="9">
        <f t="shared" si="1"/>
        <v>1.1211866673146547</v>
      </c>
      <c r="N5" s="9">
        <f t="shared" si="1"/>
        <v>1.9813345892591618</v>
      </c>
      <c r="O5" s="9">
        <f t="shared" si="1"/>
        <v>2.9203206124948746</v>
      </c>
      <c r="P5" s="9">
        <f t="shared" si="1"/>
        <v>3.8537247471550278</v>
      </c>
      <c r="Q5" s="9">
        <f t="shared" si="1"/>
        <v>4.7277634002826563</v>
      </c>
      <c r="R5" s="9">
        <f t="shared" si="1"/>
        <v>5.5136800000000008</v>
      </c>
      <c r="S5" s="9">
        <f t="shared" si="1"/>
        <v>6.2003613190327593</v>
      </c>
      <c r="T5" s="9">
        <f t="shared" si="1"/>
        <v>6.7879149497799078</v>
      </c>
      <c r="U5" s="9">
        <f t="shared" si="1"/>
        <v>7.2828799393382431</v>
      </c>
      <c r="V5" s="9">
        <f t="shared" si="1"/>
        <v>7.6949622499586763</v>
      </c>
      <c r="W5" s="9">
        <f t="shared" si="1"/>
        <v>8.0349598962254518</v>
      </c>
      <c r="X5" s="9">
        <f t="shared" si="1"/>
        <v>8.3135343813632918</v>
      </c>
      <c r="Y5" s="9">
        <f t="shared" si="1"/>
        <v>8.5405480865639891</v>
      </c>
      <c r="Z5" s="9">
        <f t="shared" si="1"/>
        <v>8.724761289990024</v>
      </c>
      <c r="AA5" s="9">
        <f t="shared" si="1"/>
        <v>8.8737461724953501</v>
      </c>
      <c r="AB5" s="9">
        <f t="shared" si="1"/>
        <v>8.9939235686508034</v>
      </c>
      <c r="AC5" s="9">
        <f t="shared" si="1"/>
        <v>9.0906625791293632</v>
      </c>
      <c r="AD5" s="9">
        <f t="shared" si="1"/>
        <v>9.1684064683953039</v>
      </c>
      <c r="AE5" s="9">
        <f t="shared" si="1"/>
        <v>9.2308035438579932</v>
      </c>
      <c r="AF5" s="9">
        <f t="shared" si="1"/>
        <v>9.2808314179412932</v>
      </c>
      <c r="AG5" s="9">
        <f t="shared" si="1"/>
        <v>9.3209090332404063</v>
      </c>
      <c r="AH5" s="9">
        <f t="shared" si="1"/>
        <v>9.3529943822889159</v>
      </c>
      <c r="AI5" s="9">
        <f t="shared" si="1"/>
        <v>9.3786678620287827</v>
      </c>
    </row>
    <row r="6" spans="1:35">
      <c r="A6" s="5">
        <v>3</v>
      </c>
      <c r="B6" s="25">
        <f>1-SUM(B4:B5)</f>
        <v>0.33333999999999997</v>
      </c>
      <c r="C6" s="22">
        <f>$C46</f>
        <v>0.42329328939340488</v>
      </c>
      <c r="J6" t="s">
        <v>6</v>
      </c>
      <c r="K6" s="1">
        <f t="shared" ref="K6:AH6" si="2">EXP(-M*(age-1))</f>
        <v>1</v>
      </c>
      <c r="L6" s="1">
        <f t="shared" si="2"/>
        <v>0.86070797642505781</v>
      </c>
      <c r="M6" s="1">
        <f t="shared" si="2"/>
        <v>0.74081822068171788</v>
      </c>
      <c r="N6" s="1">
        <f t="shared" si="2"/>
        <v>0.63762815162177333</v>
      </c>
      <c r="O6" s="1">
        <f t="shared" si="2"/>
        <v>0.54881163609402639</v>
      </c>
      <c r="P6" s="1">
        <f t="shared" si="2"/>
        <v>0.47236655274101469</v>
      </c>
      <c r="Q6" s="1">
        <f t="shared" si="2"/>
        <v>0.40656965974059917</v>
      </c>
      <c r="R6" s="1">
        <f t="shared" si="2"/>
        <v>0.34993774911115533</v>
      </c>
      <c r="S6" s="1">
        <f t="shared" si="2"/>
        <v>0.30119421191220214</v>
      </c>
      <c r="T6" s="1">
        <f t="shared" si="2"/>
        <v>0.25924026064589156</v>
      </c>
      <c r="U6" s="1">
        <f t="shared" si="2"/>
        <v>0.22313016014842982</v>
      </c>
      <c r="V6" s="1">
        <f t="shared" si="2"/>
        <v>0.19204990862075413</v>
      </c>
      <c r="W6" s="1">
        <f t="shared" si="2"/>
        <v>0.16529888822158656</v>
      </c>
      <c r="X6" s="1">
        <f t="shared" si="2"/>
        <v>0.14227407158651359</v>
      </c>
      <c r="Y6" s="1">
        <f t="shared" si="2"/>
        <v>0.12245642825298191</v>
      </c>
      <c r="Z6" s="1">
        <f t="shared" si="2"/>
        <v>0.10539922456186433</v>
      </c>
      <c r="AA6" s="1">
        <f t="shared" si="2"/>
        <v>9.0717953289412512E-2</v>
      </c>
      <c r="AB6" s="1">
        <f t="shared" si="2"/>
        <v>7.8081666001153169E-2</v>
      </c>
      <c r="AC6" s="1">
        <f t="shared" si="2"/>
        <v>6.7205512739749784E-2</v>
      </c>
      <c r="AD6" s="1">
        <f t="shared" si="2"/>
        <v>5.7844320874838456E-2</v>
      </c>
      <c r="AE6" s="1">
        <f t="shared" si="2"/>
        <v>4.9787068367863944E-2</v>
      </c>
      <c r="AF6" s="1">
        <f t="shared" si="2"/>
        <v>4.2852126867040187E-2</v>
      </c>
      <c r="AG6" s="1">
        <f t="shared" si="2"/>
        <v>3.6883167401240015E-2</v>
      </c>
      <c r="AH6" s="1">
        <f t="shared" si="2"/>
        <v>3.1745636378067953E-2</v>
      </c>
      <c r="AI6" s="1">
        <f>EXP(-M*(age-1))/(1-EXP(-M))</f>
        <v>0.19616142939148129</v>
      </c>
    </row>
    <row r="7" spans="1:35">
      <c r="A7" s="27" t="s">
        <v>49</v>
      </c>
      <c r="B7" s="30">
        <v>0.4</v>
      </c>
      <c r="C7" s="23">
        <f>spr</f>
        <v>0.40000071794109937</v>
      </c>
      <c r="J7" t="s">
        <v>7</v>
      </c>
      <c r="K7" s="1">
        <f>1</f>
        <v>1</v>
      </c>
      <c r="L7" s="1">
        <f>K7*EXP(-K8)</f>
        <v>0.85966080121150346</v>
      </c>
      <c r="M7" s="1">
        <f t="shared" ref="M7:AH7" si="3">L7*EXP(-L8)</f>
        <v>0.73373796646230416</v>
      </c>
      <c r="N7" s="1">
        <f t="shared" si="3"/>
        <v>0.61051999589550976</v>
      </c>
      <c r="O7" s="1">
        <f t="shared" si="3"/>
        <v>0.50348795423534487</v>
      </c>
      <c r="P7" s="1">
        <f t="shared" si="3"/>
        <v>0.40828209710437069</v>
      </c>
      <c r="Q7" s="1">
        <f t="shared" si="3"/>
        <v>0.32440462206133175</v>
      </c>
      <c r="R7" s="1">
        <f t="shared" si="3"/>
        <v>0.25801224289839353</v>
      </c>
      <c r="S7" s="1">
        <f t="shared" si="3"/>
        <v>0.20584950412059194</v>
      </c>
      <c r="T7" s="1">
        <f t="shared" si="3"/>
        <v>0.16458138440261749</v>
      </c>
      <c r="U7" s="1">
        <f t="shared" si="3"/>
        <v>0.13175857293223367</v>
      </c>
      <c r="V7" s="1">
        <f t="shared" si="3"/>
        <v>0.10556552184956695</v>
      </c>
      <c r="W7" s="1">
        <f t="shared" si="3"/>
        <v>8.4620376192300603E-2</v>
      </c>
      <c r="X7" s="1">
        <f t="shared" si="3"/>
        <v>6.7850844998950235E-2</v>
      </c>
      <c r="Y7" s="1">
        <f t="shared" si="3"/>
        <v>5.4414316299530335E-2</v>
      </c>
      <c r="Z7" s="1">
        <f t="shared" si="3"/>
        <v>4.3643388773698728E-2</v>
      </c>
      <c r="AA7" s="1">
        <f t="shared" si="3"/>
        <v>3.500683005781937E-2</v>
      </c>
      <c r="AB7" s="1">
        <f t="shared" si="3"/>
        <v>2.8080511736160489E-2</v>
      </c>
      <c r="AC7" s="1">
        <f t="shared" si="3"/>
        <v>2.2525187452363739E-2</v>
      </c>
      <c r="AD7" s="1">
        <f t="shared" si="3"/>
        <v>1.8069198197903036E-2</v>
      </c>
      <c r="AE7" s="1">
        <f t="shared" si="3"/>
        <v>1.4494857147528328E-2</v>
      </c>
      <c r="AF7" s="1">
        <f t="shared" si="3"/>
        <v>1.1627653523262319E-2</v>
      </c>
      <c r="AG7" s="1">
        <f t="shared" si="3"/>
        <v>9.3276533315331308E-3</v>
      </c>
      <c r="AH7" s="1">
        <f t="shared" si="3"/>
        <v>7.48263100878998E-3</v>
      </c>
      <c r="AI7" s="1">
        <f>AH7*EXP(-AH8)/(1-EXP(-AI8))</f>
        <v>3.0347148419000908E-2</v>
      </c>
    </row>
    <row r="8" spans="1:35">
      <c r="A8" s="5"/>
      <c r="B8" s="26" t="s">
        <v>50</v>
      </c>
      <c r="C8" s="26">
        <f>SUMXMY2(B4:B7,C4:C7)</f>
        <v>4.8548066821489308E-2</v>
      </c>
      <c r="J8" t="s">
        <v>11</v>
      </c>
      <c r="K8" s="1">
        <f t="shared" ref="K8:AI8" si="4">M+f1_*flt1_ +f2_*flt2_ +f3_*flt3_</f>
        <v>0.15121738473343066</v>
      </c>
      <c r="L8" s="1">
        <f t="shared" si="4"/>
        <v>0.15838592329225679</v>
      </c>
      <c r="M8" s="1">
        <f t="shared" si="4"/>
        <v>0.18384092463247001</v>
      </c>
      <c r="N8" s="1">
        <f t="shared" si="4"/>
        <v>0.19275125851243177</v>
      </c>
      <c r="O8" s="1">
        <f t="shared" si="4"/>
        <v>0.20960143785275456</v>
      </c>
      <c r="P8" s="1">
        <f t="shared" si="4"/>
        <v>0.22996677978780555</v>
      </c>
      <c r="Q8" s="1">
        <f t="shared" si="4"/>
        <v>0.22898453328068435</v>
      </c>
      <c r="R8" s="1">
        <f t="shared" si="4"/>
        <v>0.22586169761296321</v>
      </c>
      <c r="S8" s="1">
        <f t="shared" si="4"/>
        <v>0.22374015340458009</v>
      </c>
      <c r="T8" s="1">
        <f t="shared" si="4"/>
        <v>0.22243393087385593</v>
      </c>
      <c r="U8" s="1">
        <f t="shared" si="4"/>
        <v>0.22163943467537744</v>
      </c>
      <c r="V8" s="1">
        <f t="shared" si="4"/>
        <v>0.22115672937497102</v>
      </c>
      <c r="W8" s="1">
        <f t="shared" si="4"/>
        <v>0.22086325081817856</v>
      </c>
      <c r="X8" s="1">
        <f t="shared" si="4"/>
        <v>0.22068455362013389</v>
      </c>
      <c r="Y8" s="1">
        <f t="shared" si="4"/>
        <v>0.22057547563402019</v>
      </c>
      <c r="Z8" s="1">
        <f t="shared" si="4"/>
        <v>0.22050862391589743</v>
      </c>
      <c r="AA8" s="1">
        <f t="shared" si="4"/>
        <v>0.22046738374653468</v>
      </c>
      <c r="AB8" s="1">
        <f t="shared" si="4"/>
        <v>0.22044167778448334</v>
      </c>
      <c r="AC8" s="1">
        <f t="shared" si="4"/>
        <v>0.22042539381278933</v>
      </c>
      <c r="AD8" s="1">
        <f t="shared" si="4"/>
        <v>0.22041482458443815</v>
      </c>
      <c r="AE8" s="1">
        <f t="shared" si="4"/>
        <v>0.22040772154044935</v>
      </c>
      <c r="AF8" s="1">
        <f t="shared" si="4"/>
        <v>0.22040272086086043</v>
      </c>
      <c r="AG8" s="1">
        <f t="shared" si="4"/>
        <v>0.22039899534704935</v>
      </c>
      <c r="AH8" s="1">
        <f t="shared" si="4"/>
        <v>0.22039604327768969</v>
      </c>
      <c r="AI8" s="1">
        <f t="shared" si="4"/>
        <v>0.22039356034341401</v>
      </c>
    </row>
    <row r="9" spans="1:35">
      <c r="A9" s="12" t="s">
        <v>74</v>
      </c>
      <c r="B9" s="12"/>
      <c r="C9" s="12"/>
      <c r="J9" t="s">
        <v>26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0.11700000000000001</v>
      </c>
      <c r="S9">
        <v>0.189</v>
      </c>
      <c r="T9">
        <v>0.28999999999999998</v>
      </c>
      <c r="U9">
        <v>0.41799999999999998</v>
      </c>
      <c r="V9">
        <v>0.55700000000000005</v>
      </c>
      <c r="W9">
        <v>0.68899999999999995</v>
      </c>
      <c r="X9">
        <v>0.79500000000000004</v>
      </c>
      <c r="Y9">
        <v>0.872</v>
      </c>
      <c r="Z9">
        <v>0.92300000000000004</v>
      </c>
      <c r="AA9">
        <v>0.95499999999999996</v>
      </c>
      <c r="AB9">
        <v>0.97399999999999998</v>
      </c>
      <c r="AC9">
        <v>0.98499999999999999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  <row r="10" spans="1:35">
      <c r="A10" s="27" t="s">
        <v>46</v>
      </c>
      <c r="B10" s="19" t="s">
        <v>47</v>
      </c>
      <c r="C10" s="17" t="s">
        <v>48</v>
      </c>
      <c r="J10" t="s">
        <v>55</v>
      </c>
      <c r="K10" s="1">
        <f t="shared" ref="K10:AI10" si="5">EXP(-za)</f>
        <v>0.85966080121150346</v>
      </c>
      <c r="L10" s="1">
        <f t="shared" si="5"/>
        <v>0.8535203250261747</v>
      </c>
      <c r="M10" s="1">
        <f t="shared" si="5"/>
        <v>0.83206815484704133</v>
      </c>
      <c r="N10" s="1">
        <f t="shared" si="5"/>
        <v>0.82468708252025313</v>
      </c>
      <c r="O10" s="1">
        <f t="shared" si="5"/>
        <v>0.81090737855771577</v>
      </c>
      <c r="P10" s="1">
        <f t="shared" si="5"/>
        <v>0.79455999751662632</v>
      </c>
      <c r="Q10" s="1">
        <f t="shared" si="5"/>
        <v>0.79534083472341488</v>
      </c>
      <c r="R10" s="1">
        <f t="shared" si="5"/>
        <v>0.79782843561286532</v>
      </c>
      <c r="S10" s="1">
        <f t="shared" si="5"/>
        <v>0.79952286067301614</v>
      </c>
      <c r="T10" s="1">
        <f t="shared" si="5"/>
        <v>0.80056789782440418</v>
      </c>
      <c r="U10" s="1">
        <f t="shared" si="5"/>
        <v>0.8012041987116969</v>
      </c>
      <c r="V10" s="1">
        <f t="shared" si="5"/>
        <v>0.8015910375821983</v>
      </c>
      <c r="W10" s="1">
        <f t="shared" si="5"/>
        <v>0.80182632188680603</v>
      </c>
      <c r="X10" s="1">
        <f t="shared" si="5"/>
        <v>0.80196961880684337</v>
      </c>
      <c r="Y10" s="1">
        <f t="shared" si="5"/>
        <v>0.80205710080888082</v>
      </c>
      <c r="Z10" s="1">
        <f t="shared" si="5"/>
        <v>0.80211072149639995</v>
      </c>
      <c r="AA10" s="1">
        <f t="shared" si="5"/>
        <v>0.80214380136050711</v>
      </c>
      <c r="AB10" s="1">
        <f t="shared" si="5"/>
        <v>0.80216442150365375</v>
      </c>
      <c r="AC10" s="1">
        <f t="shared" si="5"/>
        <v>0.80217748403274214</v>
      </c>
      <c r="AD10" s="1">
        <f t="shared" si="5"/>
        <v>0.8021859624745542</v>
      </c>
      <c r="AE10" s="1">
        <f t="shared" si="5"/>
        <v>0.80219166045696932</v>
      </c>
      <c r="AF10" s="1">
        <f t="shared" si="5"/>
        <v>0.80219567197046238</v>
      </c>
      <c r="AG10" s="1">
        <f t="shared" si="5"/>
        <v>0.80219866056708444</v>
      </c>
      <c r="AH10" s="1">
        <f t="shared" si="5"/>
        <v>0.80220102871666621</v>
      </c>
      <c r="AI10" s="1">
        <f t="shared" si="5"/>
        <v>0.80220302053156911</v>
      </c>
    </row>
    <row r="11" spans="1:35">
      <c r="A11" s="5">
        <v>1</v>
      </c>
      <c r="B11" s="25">
        <v>0.33333000000000002</v>
      </c>
      <c r="C11" s="18">
        <f>$C34</f>
        <v>0.33333013650151561</v>
      </c>
      <c r="J11" t="s">
        <v>56</v>
      </c>
      <c r="K11" s="1">
        <f>1-sa</f>
        <v>0.14033919878849654</v>
      </c>
      <c r="L11" s="1">
        <f t="shared" ref="L11:AI11" si="6">1-sa</f>
        <v>0.1464796749738253</v>
      </c>
      <c r="M11" s="1">
        <f t="shared" si="6"/>
        <v>0.16793184515295867</v>
      </c>
      <c r="N11" s="1">
        <f t="shared" si="6"/>
        <v>0.17531291747974687</v>
      </c>
      <c r="O11" s="1">
        <f t="shared" si="6"/>
        <v>0.18909262144228423</v>
      </c>
      <c r="P11" s="1">
        <f t="shared" si="6"/>
        <v>0.20544000248337368</v>
      </c>
      <c r="Q11" s="1">
        <f t="shared" si="6"/>
        <v>0.20465916527658512</v>
      </c>
      <c r="R11" s="1">
        <f t="shared" si="6"/>
        <v>0.20217156438713468</v>
      </c>
      <c r="S11" s="1">
        <f t="shared" si="6"/>
        <v>0.20047713932698386</v>
      </c>
      <c r="T11" s="1">
        <f t="shared" si="6"/>
        <v>0.19943210217559582</v>
      </c>
      <c r="U11" s="1">
        <f t="shared" si="6"/>
        <v>0.1987958012883031</v>
      </c>
      <c r="V11" s="1">
        <f t="shared" si="6"/>
        <v>0.1984089624178017</v>
      </c>
      <c r="W11" s="1">
        <f t="shared" si="6"/>
        <v>0.19817367811319397</v>
      </c>
      <c r="X11" s="1">
        <f t="shared" si="6"/>
        <v>0.19803038119315663</v>
      </c>
      <c r="Y11" s="1">
        <f t="shared" si="6"/>
        <v>0.19794289919111918</v>
      </c>
      <c r="Z11" s="1">
        <f t="shared" si="6"/>
        <v>0.19788927850360005</v>
      </c>
      <c r="AA11" s="1">
        <f t="shared" si="6"/>
        <v>0.19785619863949289</v>
      </c>
      <c r="AB11" s="1">
        <f t="shared" si="6"/>
        <v>0.19783557849634625</v>
      </c>
      <c r="AC11" s="1">
        <f t="shared" si="6"/>
        <v>0.19782251596725786</v>
      </c>
      <c r="AD11" s="1">
        <f t="shared" si="6"/>
        <v>0.1978140375254458</v>
      </c>
      <c r="AE11" s="1">
        <f t="shared" si="6"/>
        <v>0.19780833954303068</v>
      </c>
      <c r="AF11" s="1">
        <f t="shared" si="6"/>
        <v>0.19780432802953762</v>
      </c>
      <c r="AG11" s="1">
        <f t="shared" si="6"/>
        <v>0.19780133943291556</v>
      </c>
      <c r="AH11" s="1">
        <f t="shared" si="6"/>
        <v>0.19779897128333379</v>
      </c>
      <c r="AI11" s="1">
        <f t="shared" si="6"/>
        <v>0.19779697946843089</v>
      </c>
    </row>
    <row r="12" spans="1:35">
      <c r="A12" s="5">
        <v>2</v>
      </c>
      <c r="B12" s="25">
        <v>0.33333000000000002</v>
      </c>
      <c r="C12" s="18">
        <f>$C35</f>
        <v>0.33332966266868663</v>
      </c>
      <c r="J12" t="s">
        <v>84</v>
      </c>
      <c r="K12">
        <f t="shared" ref="K12:AI12" si="7">1/(1+EXP(($E18-len)/2.5))</f>
        <v>0.99963578667333364</v>
      </c>
      <c r="L12">
        <f t="shared" si="7"/>
        <v>0.99999934562463089</v>
      </c>
      <c r="M12">
        <f t="shared" si="7"/>
        <v>0.99999999579900867</v>
      </c>
      <c r="N12">
        <f t="shared" si="7"/>
        <v>0.99999999992541966</v>
      </c>
      <c r="O12">
        <f t="shared" si="7"/>
        <v>0.99999999999701705</v>
      </c>
      <c r="P12">
        <f t="shared" si="7"/>
        <v>0.99999999999977174</v>
      </c>
      <c r="Q12">
        <f t="shared" si="7"/>
        <v>0.99999999999997069</v>
      </c>
      <c r="R12">
        <f t="shared" si="7"/>
        <v>0.99999999999999423</v>
      </c>
      <c r="S12">
        <f t="shared" si="7"/>
        <v>0.99999999999999845</v>
      </c>
      <c r="T12">
        <f t="shared" si="7"/>
        <v>0.99999999999999956</v>
      </c>
      <c r="U12">
        <f t="shared" si="7"/>
        <v>0.99999999999999978</v>
      </c>
      <c r="V12">
        <f t="shared" si="7"/>
        <v>0.99999999999999978</v>
      </c>
      <c r="W12">
        <f t="shared" si="7"/>
        <v>1</v>
      </c>
      <c r="X12">
        <f t="shared" si="7"/>
        <v>1</v>
      </c>
      <c r="Y12">
        <f t="shared" si="7"/>
        <v>1</v>
      </c>
      <c r="Z12">
        <f t="shared" si="7"/>
        <v>1</v>
      </c>
      <c r="AA12">
        <f t="shared" si="7"/>
        <v>1</v>
      </c>
      <c r="AB12">
        <f t="shared" si="7"/>
        <v>1</v>
      </c>
      <c r="AC12">
        <f t="shared" si="7"/>
        <v>1</v>
      </c>
      <c r="AD12">
        <f t="shared" si="7"/>
        <v>1</v>
      </c>
      <c r="AE12">
        <f t="shared" si="7"/>
        <v>1</v>
      </c>
      <c r="AF12">
        <f t="shared" si="7"/>
        <v>1</v>
      </c>
      <c r="AG12">
        <f t="shared" si="7"/>
        <v>1</v>
      </c>
      <c r="AH12">
        <f t="shared" si="7"/>
        <v>1</v>
      </c>
      <c r="AI12">
        <f t="shared" si="7"/>
        <v>1</v>
      </c>
    </row>
    <row r="13" spans="1:35">
      <c r="A13" s="5">
        <v>3</v>
      </c>
      <c r="B13" s="25">
        <f>1-SUM(B11:B12)</f>
        <v>0.33333999999999997</v>
      </c>
      <c r="C13" s="18">
        <f>$C36</f>
        <v>0.33334020082979787</v>
      </c>
    </row>
    <row r="14" spans="1:35">
      <c r="A14" s="27" t="s">
        <v>49</v>
      </c>
      <c r="B14" s="30">
        <v>0.4</v>
      </c>
      <c r="C14" s="29">
        <f>spr</f>
        <v>0.40000071794109937</v>
      </c>
    </row>
    <row r="15" spans="1:35">
      <c r="A15" s="5"/>
      <c r="B15" s="26" t="s">
        <v>50</v>
      </c>
      <c r="C15" s="26">
        <f>SUMXMY2(B11:B14,C11:C14)</f>
        <v>6.8819710860641874E-13</v>
      </c>
    </row>
    <row r="17" spans="1:35">
      <c r="A17" s="13" t="s">
        <v>4</v>
      </c>
      <c r="B17" s="13"/>
      <c r="C17" s="13"/>
      <c r="E17" t="s">
        <v>82</v>
      </c>
      <c r="F17" t="s">
        <v>83</v>
      </c>
      <c r="G17" s="3" t="s">
        <v>9</v>
      </c>
      <c r="H17" s="3" t="s">
        <v>10</v>
      </c>
      <c r="I17" s="6" t="s">
        <v>12</v>
      </c>
      <c r="J17" t="s">
        <v>8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5">
      <c r="A18" t="s">
        <v>20</v>
      </c>
      <c r="B18">
        <v>100</v>
      </c>
      <c r="E18">
        <v>0</v>
      </c>
      <c r="F18">
        <v>0</v>
      </c>
      <c r="G18" s="3">
        <v>5</v>
      </c>
      <c r="H18" s="3">
        <v>0.4</v>
      </c>
      <c r="I18" s="7">
        <v>1.0000000000000001E-5</v>
      </c>
      <c r="J18" s="8" t="s">
        <v>16</v>
      </c>
      <c r="K18" s="4">
        <f t="shared" ref="K18:AI18" si="8">((EXP(g*(ah-age)/gh)/(1+EXP((ah-age)/gh))) *(1/(1-g))*((1-g)/g)^g) *(sr+(1-sr)*dmr)</f>
        <v>4.5391552007444657E-5</v>
      </c>
      <c r="L18" s="4">
        <f t="shared" si="8"/>
        <v>5.5288891334603083E-4</v>
      </c>
      <c r="M18" s="4">
        <f t="shared" si="8"/>
        <v>6.6940231124641893E-3</v>
      </c>
      <c r="N18" s="4">
        <f t="shared" si="8"/>
        <v>7.5869569398736056E-2</v>
      </c>
      <c r="O18" s="4">
        <f t="shared" si="8"/>
        <v>0.50006256851532582</v>
      </c>
      <c r="P18" s="4">
        <f t="shared" si="8"/>
        <v>0.92423435819677513</v>
      </c>
      <c r="Q18" s="4">
        <f t="shared" si="8"/>
        <v>0.99338177825514906</v>
      </c>
      <c r="R18" s="4">
        <f t="shared" si="8"/>
        <v>0.99949732411316172</v>
      </c>
      <c r="S18" s="4">
        <f t="shared" si="8"/>
        <v>0.99997973051085998</v>
      </c>
      <c r="T18" s="4">
        <f t="shared" si="8"/>
        <v>0.99999640256489186</v>
      </c>
      <c r="U18" s="4">
        <f t="shared" si="8"/>
        <v>0.99997482361930579</v>
      </c>
      <c r="V18" s="4">
        <f t="shared" si="8"/>
        <v>0.99995010533943796</v>
      </c>
      <c r="W18" s="4">
        <f t="shared" si="8"/>
        <v>0.99992512994639815</v>
      </c>
      <c r="X18" s="4">
        <f t="shared" si="8"/>
        <v>0.99990013402239852</v>
      </c>
      <c r="Y18" s="4">
        <f t="shared" si="8"/>
        <v>0.99987513698679642</v>
      </c>
      <c r="Z18" s="4">
        <f t="shared" si="8"/>
        <v>0.99985014043357634</v>
      </c>
      <c r="AA18" s="4">
        <f t="shared" si="8"/>
        <v>0.9998251444935623</v>
      </c>
      <c r="AB18" s="4">
        <f t="shared" si="8"/>
        <v>0.99980014917747839</v>
      </c>
      <c r="AC18" s="4">
        <f t="shared" si="8"/>
        <v>0.99977515448619114</v>
      </c>
      <c r="AD18" s="4">
        <f t="shared" si="8"/>
        <v>0.99975016041975662</v>
      </c>
      <c r="AE18" s="4">
        <f t="shared" si="8"/>
        <v>0.9997251669781656</v>
      </c>
      <c r="AF18" s="4">
        <f t="shared" si="8"/>
        <v>0.99970017416140255</v>
      </c>
      <c r="AG18" s="4">
        <f t="shared" si="8"/>
        <v>0.99967518196945226</v>
      </c>
      <c r="AH18" s="4">
        <f t="shared" si="8"/>
        <v>0.99965019040229885</v>
      </c>
      <c r="AI18" s="4">
        <f t="shared" si="8"/>
        <v>0.99962519945992701</v>
      </c>
    </row>
    <row r="19" spans="1:35">
      <c r="A19" t="s">
        <v>21</v>
      </c>
      <c r="B19">
        <v>12</v>
      </c>
      <c r="E19">
        <v>0</v>
      </c>
      <c r="F19">
        <v>0</v>
      </c>
      <c r="G19" s="3">
        <v>3</v>
      </c>
      <c r="H19" s="3">
        <v>0.4</v>
      </c>
      <c r="I19" s="7">
        <v>0.2</v>
      </c>
      <c r="J19" s="8" t="s">
        <v>17</v>
      </c>
      <c r="K19" s="4">
        <f t="shared" ref="K19:T20" si="9">(EXP(g*(ah-age)/gh)/(1+EXP((ah-age)/gh))) *(1/(1-g))*((1-g)/g)^g</f>
        <v>3.0007350071316975E-2</v>
      </c>
      <c r="L19" s="4">
        <f t="shared" si="9"/>
        <v>0.20628691029874971</v>
      </c>
      <c r="M19" s="4">
        <f t="shared" si="9"/>
        <v>0.82469244423305887</v>
      </c>
      <c r="N19" s="4">
        <f t="shared" si="9"/>
        <v>0.92451379123971533</v>
      </c>
      <c r="O19" s="4">
        <f t="shared" si="9"/>
        <v>0.60271373782445525</v>
      </c>
      <c r="P19" s="4">
        <f t="shared" si="9"/>
        <v>0.36782407656213434</v>
      </c>
      <c r="Q19" s="4">
        <f t="shared" si="9"/>
        <v>0.22320983733581354</v>
      </c>
      <c r="R19" s="4">
        <f t="shared" si="9"/>
        <v>0.13538925175123626</v>
      </c>
      <c r="S19" s="4">
        <f t="shared" si="9"/>
        <v>8.2118013086893454E-2</v>
      </c>
      <c r="T19" s="4">
        <f t="shared" si="9"/>
        <v>4.9807106637333357E-2</v>
      </c>
      <c r="U19" s="4">
        <f t="shared" ref="U19:AI20" si="10">(EXP(g*(ah-age)/gh)/(1+EXP((ah-age)/gh))) *(1/(1-g))*((1-g)/g)^g</f>
        <v>3.0209537943414012E-2</v>
      </c>
      <c r="V19" s="4">
        <f t="shared" si="10"/>
        <v>1.8323011013099209E-2</v>
      </c>
      <c r="W19" s="4">
        <f t="shared" si="10"/>
        <v>1.1113467959422852E-2</v>
      </c>
      <c r="X19" s="4">
        <f t="shared" si="10"/>
        <v>6.7406590532098857E-3</v>
      </c>
      <c r="Y19" s="4">
        <f t="shared" si="10"/>
        <v>4.0884163824456031E-3</v>
      </c>
      <c r="Z19" s="4">
        <f t="shared" si="10"/>
        <v>2.479749885624884E-3</v>
      </c>
      <c r="AA19" s="4">
        <f t="shared" si="10"/>
        <v>1.5040443340503991E-3</v>
      </c>
      <c r="AB19" s="4">
        <f t="shared" si="10"/>
        <v>9.1224900216863752E-4</v>
      </c>
      <c r="AC19" s="4">
        <f t="shared" si="10"/>
        <v>5.5330698910753529E-4</v>
      </c>
      <c r="AD19" s="4">
        <f t="shared" si="10"/>
        <v>3.3559765312700423E-4</v>
      </c>
      <c r="AE19" s="4">
        <f t="shared" si="10"/>
        <v>2.0355026594913339E-4</v>
      </c>
      <c r="AF19" s="4">
        <f t="shared" si="10"/>
        <v>1.2345947709080986E-4</v>
      </c>
      <c r="AG19" s="4">
        <f t="shared" si="10"/>
        <v>7.4881958087665658E-5</v>
      </c>
      <c r="AH19" s="4">
        <f t="shared" si="10"/>
        <v>4.5418203439485613E-5</v>
      </c>
      <c r="AI19" s="4">
        <f t="shared" si="10"/>
        <v>2.7547532895113808E-5</v>
      </c>
    </row>
    <row r="20" spans="1:35">
      <c r="A20" t="s">
        <v>5</v>
      </c>
      <c r="B20">
        <v>0.15</v>
      </c>
      <c r="E20">
        <v>0</v>
      </c>
      <c r="F20">
        <v>0</v>
      </c>
      <c r="G20" s="3">
        <v>5</v>
      </c>
      <c r="H20" s="3">
        <v>0.4</v>
      </c>
      <c r="I20" s="7">
        <v>1.0000000000000001E-5</v>
      </c>
      <c r="J20" s="8" t="s">
        <v>18</v>
      </c>
      <c r="K20" s="4">
        <f t="shared" si="9"/>
        <v>4.5408090239048184E-5</v>
      </c>
      <c r="L20" s="4">
        <f t="shared" si="9"/>
        <v>5.5288927514315434E-4</v>
      </c>
      <c r="M20" s="4">
        <f t="shared" si="9"/>
        <v>6.6940231405857222E-3</v>
      </c>
      <c r="N20" s="4">
        <f t="shared" si="9"/>
        <v>7.5869569404394432E-2</v>
      </c>
      <c r="O20" s="4">
        <f t="shared" si="9"/>
        <v>0.50006256851681752</v>
      </c>
      <c r="P20" s="4">
        <f t="shared" si="9"/>
        <v>0.92423435819698607</v>
      </c>
      <c r="Q20" s="4">
        <f t="shared" si="9"/>
        <v>0.99338177825517815</v>
      </c>
      <c r="R20" s="4">
        <f t="shared" si="9"/>
        <v>0.9994973241131675</v>
      </c>
      <c r="S20" s="4">
        <f t="shared" si="9"/>
        <v>0.99997973051086153</v>
      </c>
      <c r="T20" s="4">
        <f t="shared" si="9"/>
        <v>0.99999640256489231</v>
      </c>
      <c r="U20" s="4">
        <f t="shared" si="10"/>
        <v>0.99997482361930601</v>
      </c>
      <c r="V20" s="4">
        <f t="shared" si="10"/>
        <v>0.99995010533943818</v>
      </c>
      <c r="W20" s="4">
        <f t="shared" si="10"/>
        <v>0.99992512994639815</v>
      </c>
      <c r="X20" s="4">
        <f t="shared" si="10"/>
        <v>0.99990013402239852</v>
      </c>
      <c r="Y20" s="4">
        <f t="shared" si="10"/>
        <v>0.99987513698679642</v>
      </c>
      <c r="Z20" s="4">
        <f t="shared" si="10"/>
        <v>0.99985014043357634</v>
      </c>
      <c r="AA20" s="4">
        <f t="shared" si="10"/>
        <v>0.9998251444935623</v>
      </c>
      <c r="AB20" s="4">
        <f t="shared" si="10"/>
        <v>0.99980014917747839</v>
      </c>
      <c r="AC20" s="4">
        <f t="shared" si="10"/>
        <v>0.99977515448619114</v>
      </c>
      <c r="AD20" s="4">
        <f t="shared" si="10"/>
        <v>0.99975016041975662</v>
      </c>
      <c r="AE20" s="4">
        <f t="shared" si="10"/>
        <v>0.9997251669781656</v>
      </c>
      <c r="AF20" s="4">
        <f t="shared" si="10"/>
        <v>0.99970017416140255</v>
      </c>
      <c r="AG20" s="4">
        <f t="shared" si="10"/>
        <v>0.99967518196945226</v>
      </c>
      <c r="AH20" s="4">
        <f t="shared" si="10"/>
        <v>0.99965019040229885</v>
      </c>
      <c r="AI20" s="4">
        <f t="shared" si="10"/>
        <v>0.99962519945992701</v>
      </c>
    </row>
    <row r="21" spans="1:35">
      <c r="A21" t="s">
        <v>42</v>
      </c>
      <c r="B21" s="1">
        <f>Bo/phie</f>
        <v>8.2438682882849061</v>
      </c>
      <c r="J21" s="2" t="s">
        <v>72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</row>
    <row r="22" spans="1:35">
      <c r="A22" t="s">
        <v>80</v>
      </c>
      <c r="B22" s="1">
        <v>98.238757374230488</v>
      </c>
      <c r="J22" s="8" t="s">
        <v>23</v>
      </c>
      <c r="K22" s="1">
        <f t="shared" ref="K22:AI22" si="11">wa*flt1_*(1-EXP(-za))/za</f>
        <v>3.2667895782250959E-6</v>
      </c>
      <c r="L22" s="1">
        <f t="shared" si="11"/>
        <v>2.3068035094066158E-4</v>
      </c>
      <c r="M22" s="1">
        <f t="shared" si="11"/>
        <v>6.8557661652764983E-3</v>
      </c>
      <c r="N22" s="1">
        <f t="shared" si="11"/>
        <v>0.13672317508944951</v>
      </c>
      <c r="O22" s="1">
        <f t="shared" si="11"/>
        <v>1.317453228807103</v>
      </c>
      <c r="P22" s="1">
        <f t="shared" si="11"/>
        <v>3.1818720295293748</v>
      </c>
      <c r="Q22" s="1">
        <f t="shared" si="11"/>
        <v>4.1975605846596737</v>
      </c>
      <c r="R22" s="1">
        <f t="shared" si="11"/>
        <v>4.9328814288278497</v>
      </c>
      <c r="S22" s="1">
        <f t="shared" si="11"/>
        <v>5.555576348374184</v>
      </c>
      <c r="T22" s="1">
        <f t="shared" si="11"/>
        <v>6.0859567268192647</v>
      </c>
      <c r="U22" s="1">
        <f t="shared" si="11"/>
        <v>6.5320934644769757</v>
      </c>
      <c r="V22" s="1">
        <f t="shared" si="11"/>
        <v>6.9031283991504475</v>
      </c>
      <c r="W22" s="1">
        <f t="shared" si="11"/>
        <v>7.2089781044514902</v>
      </c>
      <c r="X22" s="1">
        <f t="shared" si="11"/>
        <v>7.4593710479823745</v>
      </c>
      <c r="Y22" s="1">
        <f t="shared" si="11"/>
        <v>7.6632715312191024</v>
      </c>
      <c r="Z22" s="1">
        <f t="shared" si="11"/>
        <v>7.8286188906919065</v>
      </c>
      <c r="AA22" s="1">
        <f t="shared" si="11"/>
        <v>7.962260254768359</v>
      </c>
      <c r="AB22" s="1">
        <f t="shared" si="11"/>
        <v>8.0699915363324557</v>
      </c>
      <c r="AC22" s="1">
        <f t="shared" si="11"/>
        <v>8.1566527519325192</v>
      </c>
      <c r="AD22" s="1">
        <f t="shared" si="11"/>
        <v>8.2262451524053013</v>
      </c>
      <c r="AE22" s="1">
        <f t="shared" si="11"/>
        <v>8.2820514774272187</v>
      </c>
      <c r="AF22" s="1">
        <f t="shared" si="11"/>
        <v>8.3267493166599582</v>
      </c>
      <c r="AG22" s="1">
        <f t="shared" si="11"/>
        <v>8.3625128390686108</v>
      </c>
      <c r="AH22" s="1">
        <f t="shared" si="11"/>
        <v>8.3911012536579772</v>
      </c>
      <c r="AI22" s="1">
        <f t="shared" si="11"/>
        <v>8.4139340986396451</v>
      </c>
    </row>
    <row r="23" spans="1:35">
      <c r="A23" t="s">
        <v>81</v>
      </c>
      <c r="B23" s="1">
        <f>1.5*M</f>
        <v>0.22499999999999998</v>
      </c>
      <c r="J23" s="8" t="s">
        <v>24</v>
      </c>
      <c r="K23" s="1">
        <f t="shared" ref="K23:AI23" si="12">wa*flt2_*(1-EXP(-za))/za</f>
        <v>2.159602264030384E-3</v>
      </c>
      <c r="L23" s="1">
        <f t="shared" si="12"/>
        <v>8.6068531514210317E-2</v>
      </c>
      <c r="M23" s="1">
        <f t="shared" si="12"/>
        <v>0.84461891764381447</v>
      </c>
      <c r="N23" s="1">
        <f t="shared" si="12"/>
        <v>1.6660495367775761</v>
      </c>
      <c r="O23" s="1">
        <f t="shared" si="12"/>
        <v>1.5878956153441637</v>
      </c>
      <c r="P23" s="1">
        <f t="shared" si="12"/>
        <v>1.2663120891588275</v>
      </c>
      <c r="Q23" s="1">
        <f t="shared" si="12"/>
        <v>0.94317898296344316</v>
      </c>
      <c r="R23" s="1">
        <f t="shared" si="12"/>
        <v>0.66819501114638069</v>
      </c>
      <c r="S23" s="1">
        <f t="shared" si="12"/>
        <v>0.45622213867071221</v>
      </c>
      <c r="T23" s="1">
        <f t="shared" si="12"/>
        <v>0.30312498615535072</v>
      </c>
      <c r="U23" s="1">
        <f t="shared" si="12"/>
        <v>0.1973364935837312</v>
      </c>
      <c r="V23" s="1">
        <f t="shared" si="12"/>
        <v>0.12649240897828123</v>
      </c>
      <c r="W23" s="1">
        <f t="shared" si="12"/>
        <v>8.0122745978288626E-2</v>
      </c>
      <c r="X23" s="1">
        <f t="shared" si="12"/>
        <v>5.0286098856256151E-2</v>
      </c>
      <c r="Y23" s="1">
        <f t="shared" si="12"/>
        <v>3.1334557398619373E-2</v>
      </c>
      <c r="Z23" s="1">
        <f t="shared" si="12"/>
        <v>1.9415926461115236E-2</v>
      </c>
      <c r="AA23" s="1">
        <f t="shared" si="12"/>
        <v>1.1977686786908113E-2</v>
      </c>
      <c r="AB23" s="1">
        <f t="shared" si="12"/>
        <v>7.3633132907462715E-3</v>
      </c>
      <c r="AC23" s="1">
        <f t="shared" si="12"/>
        <v>4.5141479612852385E-3</v>
      </c>
      <c r="AD23" s="1">
        <f t="shared" si="12"/>
        <v>2.7613984738302003E-3</v>
      </c>
      <c r="AE23" s="1">
        <f t="shared" si="12"/>
        <v>1.6862772255002581E-3</v>
      </c>
      <c r="AF23" s="1">
        <f t="shared" si="12"/>
        <v>1.0283244347370922E-3</v>
      </c>
      <c r="AG23" s="1">
        <f t="shared" si="12"/>
        <v>6.264048034972993E-4</v>
      </c>
      <c r="AH23" s="1">
        <f t="shared" si="12"/>
        <v>3.8124210596767605E-4</v>
      </c>
      <c r="AI23" s="1">
        <f t="shared" si="12"/>
        <v>2.3187003137258055E-4</v>
      </c>
    </row>
    <row r="24" spans="1:35">
      <c r="B24" s="1"/>
      <c r="J24" s="8" t="s">
        <v>25</v>
      </c>
      <c r="K24" s="1">
        <f t="shared" ref="K24:AI24" si="13">wa*flt3_*(1-EXP(-za))/za</f>
        <v>3.2679798200268268E-6</v>
      </c>
      <c r="L24" s="1">
        <f t="shared" si="13"/>
        <v>2.3068050189230013E-4</v>
      </c>
      <c r="M24" s="1">
        <f t="shared" si="13"/>
        <v>6.8557661940775137E-3</v>
      </c>
      <c r="N24" s="1">
        <f t="shared" si="13"/>
        <v>0.13672317509964638</v>
      </c>
      <c r="O24" s="1">
        <f t="shared" si="13"/>
        <v>1.317453228811033</v>
      </c>
      <c r="P24" s="1">
        <f t="shared" si="13"/>
        <v>3.1818720295301008</v>
      </c>
      <c r="Q24" s="1">
        <f t="shared" si="13"/>
        <v>4.1975605846597963</v>
      </c>
      <c r="R24" s="1">
        <f t="shared" si="13"/>
        <v>4.9328814288278782</v>
      </c>
      <c r="S24" s="1">
        <f t="shared" si="13"/>
        <v>5.5555763483741929</v>
      </c>
      <c r="T24" s="1">
        <f t="shared" si="13"/>
        <v>6.0859567268192691</v>
      </c>
      <c r="U24" s="1">
        <f t="shared" si="13"/>
        <v>6.5320934644769766</v>
      </c>
      <c r="V24" s="1">
        <f t="shared" si="13"/>
        <v>6.9031283991504502</v>
      </c>
      <c r="W24" s="1">
        <f t="shared" si="13"/>
        <v>7.2089781044514902</v>
      </c>
      <c r="X24" s="1">
        <f t="shared" si="13"/>
        <v>7.4593710479823745</v>
      </c>
      <c r="Y24" s="1">
        <f t="shared" si="13"/>
        <v>7.6632715312191024</v>
      </c>
      <c r="Z24" s="1">
        <f t="shared" si="13"/>
        <v>7.8286188906919065</v>
      </c>
      <c r="AA24" s="1">
        <f t="shared" si="13"/>
        <v>7.962260254768359</v>
      </c>
      <c r="AB24" s="1">
        <f t="shared" si="13"/>
        <v>8.0699915363324557</v>
      </c>
      <c r="AC24" s="1">
        <f t="shared" si="13"/>
        <v>8.1566527519325192</v>
      </c>
      <c r="AD24" s="1">
        <f t="shared" si="13"/>
        <v>8.2262451524053013</v>
      </c>
      <c r="AE24" s="1">
        <f t="shared" si="13"/>
        <v>8.2820514774272187</v>
      </c>
      <c r="AF24" s="1">
        <f t="shared" si="13"/>
        <v>8.3267493166599582</v>
      </c>
      <c r="AG24" s="1">
        <f t="shared" si="13"/>
        <v>8.3625128390686108</v>
      </c>
      <c r="AH24" s="1">
        <f t="shared" si="13"/>
        <v>8.3911012536579772</v>
      </c>
      <c r="AI24" s="1">
        <f t="shared" si="13"/>
        <v>8.4139340986396451</v>
      </c>
    </row>
    <row r="25" spans="1:35">
      <c r="J25" s="2" t="s">
        <v>29</v>
      </c>
    </row>
    <row r="26" spans="1:35">
      <c r="A26" s="14" t="s">
        <v>13</v>
      </c>
      <c r="B26" s="14"/>
      <c r="C26" s="14"/>
      <c r="J26" s="8" t="s">
        <v>30</v>
      </c>
      <c r="K26">
        <f>qa1_/wa</f>
        <v>4.212620163826208E-5</v>
      </c>
      <c r="L26">
        <f t="shared" ref="L26:AI26" si="14">qa1_/wa</f>
        <v>5.1132693259690323E-4</v>
      </c>
      <c r="M26">
        <f t="shared" si="14"/>
        <v>6.1147410731316396E-3</v>
      </c>
      <c r="N26">
        <f t="shared" si="14"/>
        <v>6.9005596445258388E-2</v>
      </c>
      <c r="O26">
        <f t="shared" si="14"/>
        <v>0.45113307873466074</v>
      </c>
      <c r="P26">
        <f t="shared" si="14"/>
        <v>0.82566146735787471</v>
      </c>
      <c r="Q26">
        <f t="shared" si="14"/>
        <v>0.88785335247713881</v>
      </c>
      <c r="R26">
        <f t="shared" si="14"/>
        <v>0.89466226346611499</v>
      </c>
      <c r="S26">
        <f t="shared" si="14"/>
        <v>0.89600848442826553</v>
      </c>
      <c r="T26">
        <f t="shared" si="14"/>
        <v>0.89658706272043032</v>
      </c>
      <c r="U26">
        <f t="shared" si="14"/>
        <v>0.89691077140982123</v>
      </c>
      <c r="V26">
        <f t="shared" si="14"/>
        <v>0.89709711040980333</v>
      </c>
      <c r="W26">
        <f t="shared" si="14"/>
        <v>0.89720150412175925</v>
      </c>
      <c r="X26">
        <f t="shared" si="14"/>
        <v>0.89725629386994277</v>
      </c>
      <c r="Y26">
        <f t="shared" si="14"/>
        <v>0.89728100041670389</v>
      </c>
      <c r="Z26">
        <f t="shared" si="14"/>
        <v>0.89728745927682085</v>
      </c>
      <c r="AA26">
        <f t="shared" si="14"/>
        <v>0.89728284987999873</v>
      </c>
      <c r="AB26">
        <f t="shared" si="14"/>
        <v>0.89727152724103609</v>
      </c>
      <c r="AC26">
        <f t="shared" si="14"/>
        <v>0.89725613297526041</v>
      </c>
      <c r="AD26">
        <f t="shared" si="14"/>
        <v>0.8972382693505403</v>
      </c>
      <c r="AE26">
        <f t="shared" si="14"/>
        <v>0.89721890819981143</v>
      </c>
      <c r="AF26">
        <f t="shared" si="14"/>
        <v>0.8971986389670924</v>
      </c>
      <c r="AG26">
        <f t="shared" si="14"/>
        <v>0.89717781916399519</v>
      </c>
      <c r="AH26">
        <f t="shared" si="14"/>
        <v>0.89715666562866692</v>
      </c>
      <c r="AI26">
        <f t="shared" si="14"/>
        <v>0.89713530987753232</v>
      </c>
    </row>
    <row r="27" spans="1:35">
      <c r="A27" t="s">
        <v>14</v>
      </c>
      <c r="B27" s="28">
        <v>3.5208887951138419E-2</v>
      </c>
      <c r="C27">
        <v>3.0826511509620572E-2</v>
      </c>
      <c r="J27" s="8" t="s">
        <v>31</v>
      </c>
      <c r="K27">
        <f t="shared" ref="K27:AI27" si="15">qa2_/wa</f>
        <v>2.7848699236520776E-2</v>
      </c>
      <c r="L27">
        <f t="shared" si="15"/>
        <v>0.19077983032721166</v>
      </c>
      <c r="M27">
        <f t="shared" si="15"/>
        <v>0.75332586648283517</v>
      </c>
      <c r="N27">
        <f t="shared" si="15"/>
        <v>0.84087238258961927</v>
      </c>
      <c r="O27">
        <f t="shared" si="15"/>
        <v>0.54374016625099264</v>
      </c>
      <c r="P27">
        <f t="shared" si="15"/>
        <v>0.32859432685057988</v>
      </c>
      <c r="Q27">
        <f t="shared" si="15"/>
        <v>0.19949792388236978</v>
      </c>
      <c r="R27">
        <f t="shared" si="15"/>
        <v>0.1211885729941492</v>
      </c>
      <c r="S27">
        <f t="shared" si="15"/>
        <v>7.3579927877796922E-2</v>
      </c>
      <c r="T27">
        <f t="shared" si="15"/>
        <v>4.465656809167582E-2</v>
      </c>
      <c r="U27">
        <f t="shared" si="15"/>
        <v>2.7095942158516777E-2</v>
      </c>
      <c r="V27">
        <f t="shared" si="15"/>
        <v>1.643834041927373E-2</v>
      </c>
      <c r="W27">
        <f t="shared" si="15"/>
        <v>9.9717667559146798E-3</v>
      </c>
      <c r="X27">
        <f t="shared" si="15"/>
        <v>6.0487028199443143E-3</v>
      </c>
      <c r="Y27">
        <f t="shared" si="15"/>
        <v>3.6689164537244364E-3</v>
      </c>
      <c r="Z27">
        <f t="shared" si="15"/>
        <v>2.2253819692913839E-3</v>
      </c>
      <c r="AA27">
        <f t="shared" si="15"/>
        <v>1.3497892044775398E-3</v>
      </c>
      <c r="AB27">
        <f t="shared" si="15"/>
        <v>8.1869867300316153E-4</v>
      </c>
      <c r="AC27">
        <f t="shared" si="15"/>
        <v>4.965697408733402E-4</v>
      </c>
      <c r="AD27">
        <f t="shared" si="15"/>
        <v>3.011863057499798E-4</v>
      </c>
      <c r="AE27">
        <f t="shared" si="15"/>
        <v>1.8267935369746614E-4</v>
      </c>
      <c r="AF27">
        <f t="shared" si="15"/>
        <v>1.1080089578495962E-4</v>
      </c>
      <c r="AG27">
        <f t="shared" si="15"/>
        <v>6.7204261007526453E-5</v>
      </c>
      <c r="AH27">
        <f t="shared" si="15"/>
        <v>4.0761502721482056E-5</v>
      </c>
      <c r="AI27">
        <f t="shared" si="15"/>
        <v>2.4723130702959205E-5</v>
      </c>
    </row>
    <row r="28" spans="1:35">
      <c r="A28" t="s">
        <v>15</v>
      </c>
      <c r="B28" s="28">
        <v>4.0463010824188246E-2</v>
      </c>
      <c r="C28">
        <v>6.5872059610417921E-2</v>
      </c>
      <c r="J28" s="8" t="s">
        <v>32</v>
      </c>
      <c r="K28">
        <f t="shared" ref="K28:AI28" si="16">qa3_/wa</f>
        <v>4.214155015243398E-5</v>
      </c>
      <c r="L28">
        <f t="shared" si="16"/>
        <v>5.1132726719687238E-4</v>
      </c>
      <c r="M28">
        <f t="shared" si="16"/>
        <v>6.1147410988196147E-3</v>
      </c>
      <c r="N28">
        <f t="shared" si="16"/>
        <v>6.9005596450404855E-2</v>
      </c>
      <c r="O28">
        <f t="shared" si="16"/>
        <v>0.4511330787360065</v>
      </c>
      <c r="P28">
        <f t="shared" si="16"/>
        <v>0.82566146735806312</v>
      </c>
      <c r="Q28">
        <f t="shared" si="16"/>
        <v>0.88785335247716479</v>
      </c>
      <c r="R28">
        <f t="shared" si="16"/>
        <v>0.89466226346612021</v>
      </c>
      <c r="S28">
        <f t="shared" si="16"/>
        <v>0.89600848442826697</v>
      </c>
      <c r="T28">
        <f t="shared" si="16"/>
        <v>0.89658706272043098</v>
      </c>
      <c r="U28">
        <f t="shared" si="16"/>
        <v>0.89691077140982134</v>
      </c>
      <c r="V28">
        <f t="shared" si="16"/>
        <v>0.89709711040980367</v>
      </c>
      <c r="W28">
        <f t="shared" si="16"/>
        <v>0.89720150412175925</v>
      </c>
      <c r="X28">
        <f t="shared" si="16"/>
        <v>0.89725629386994277</v>
      </c>
      <c r="Y28">
        <f t="shared" si="16"/>
        <v>0.89728100041670389</v>
      </c>
      <c r="Z28">
        <f t="shared" si="16"/>
        <v>0.89728745927682085</v>
      </c>
      <c r="AA28">
        <f t="shared" si="16"/>
        <v>0.89728284987999873</v>
      </c>
      <c r="AB28">
        <f t="shared" si="16"/>
        <v>0.89727152724103609</v>
      </c>
      <c r="AC28">
        <f t="shared" si="16"/>
        <v>0.89725613297526041</v>
      </c>
      <c r="AD28">
        <f t="shared" si="16"/>
        <v>0.8972382693505403</v>
      </c>
      <c r="AE28">
        <f t="shared" si="16"/>
        <v>0.89721890819981143</v>
      </c>
      <c r="AF28">
        <f t="shared" si="16"/>
        <v>0.8971986389670924</v>
      </c>
      <c r="AG28">
        <f t="shared" si="16"/>
        <v>0.89717781916399519</v>
      </c>
      <c r="AH28">
        <f t="shared" si="16"/>
        <v>0.89715666562866692</v>
      </c>
      <c r="AI28">
        <f t="shared" si="16"/>
        <v>0.89713530987753232</v>
      </c>
    </row>
    <row r="29" spans="1:35">
      <c r="A29" t="s">
        <v>19</v>
      </c>
      <c r="B29" s="28">
        <v>3.5209950754932245E-2</v>
      </c>
      <c r="C29">
        <v>3.0717558531607573E-2</v>
      </c>
    </row>
    <row r="30" spans="1:35">
      <c r="G30" t="s">
        <v>58</v>
      </c>
      <c r="H30" t="s">
        <v>59</v>
      </c>
      <c r="J30" s="2" t="s">
        <v>51</v>
      </c>
    </row>
    <row r="31" spans="1:35">
      <c r="A31" s="12" t="s">
        <v>22</v>
      </c>
      <c r="B31" s="12"/>
      <c r="C31" s="12"/>
      <c r="G31">
        <f>SUMPRODUCT(dlz1_,wa,ma)</f>
        <v>-47.817938969923659</v>
      </c>
      <c r="H31">
        <f>Ro/(reck-1)*phie/phif^2*dphif</f>
        <v>-18.464549473444112</v>
      </c>
      <c r="J31" s="8" t="s">
        <v>52</v>
      </c>
      <c r="K31">
        <v>0</v>
      </c>
      <c r="L31">
        <f t="shared" ref="L31:AH31" si="17">K31*sa-K$7*K18*K$10</f>
        <v>-3.90213379669535E-5</v>
      </c>
      <c r="M31">
        <f t="shared" si="17"/>
        <v>-4.3814399963989554E-4</v>
      </c>
      <c r="N31">
        <f t="shared" si="17"/>
        <v>-4.4481666599328644E-3</v>
      </c>
      <c r="O31">
        <f t="shared" si="17"/>
        <v>-4.1806465450880126E-2</v>
      </c>
      <c r="P31">
        <f t="shared" si="17"/>
        <v>-0.23738433924166549</v>
      </c>
      <c r="Q31">
        <f t="shared" si="17"/>
        <v>-0.48862735618965492</v>
      </c>
      <c r="R31">
        <f t="shared" si="17"/>
        <v>-0.64614545984844829</v>
      </c>
      <c r="S31">
        <f t="shared" si="17"/>
        <v>-0.72235409500746584</v>
      </c>
      <c r="T31">
        <f t="shared" si="17"/>
        <v>-0.74287154774701059</v>
      </c>
      <c r="U31">
        <f t="shared" si="17"/>
        <v>-0.72694990209767929</v>
      </c>
      <c r="V31">
        <f t="shared" si="17"/>
        <v>-0.68827939038455688</v>
      </c>
      <c r="W31">
        <f t="shared" si="17"/>
        <v>-0.63649668610989618</v>
      </c>
      <c r="X31">
        <f t="shared" si="17"/>
        <v>-0.57829676973392075</v>
      </c>
      <c r="Y31">
        <f t="shared" si="17"/>
        <v>-0.51823591270056701</v>
      </c>
      <c r="Z31">
        <f t="shared" si="17"/>
        <v>-0.45932052117026717</v>
      </c>
      <c r="AA31">
        <f t="shared" si="17"/>
        <v>-0.40344269284385242</v>
      </c>
      <c r="AB31">
        <f t="shared" si="17"/>
        <v>-0.35170297601902495</v>
      </c>
      <c r="AC31">
        <f t="shared" si="17"/>
        <v>-0.30464889420489322</v>
      </c>
      <c r="AD31">
        <f t="shared" si="17"/>
        <v>-0.262450201834311</v>
      </c>
      <c r="AE31">
        <f t="shared" si="17"/>
        <v>-0.22502659895523558</v>
      </c>
      <c r="AF31">
        <f t="shared" si="17"/>
        <v>-0.19213982162023063</v>
      </c>
      <c r="AG31">
        <f t="shared" si="17"/>
        <v>-0.16345916420539841</v>
      </c>
      <c r="AH31">
        <f t="shared" si="17"/>
        <v>-0.13860731019405945</v>
      </c>
      <c r="AI31">
        <f>(AH31*sa-AH$7*AH18*AH$10)/oa-AH$7*AH$10*flt1_*sa/oa^2</f>
        <v>-0.7155171306819218</v>
      </c>
    </row>
    <row r="32" spans="1:35">
      <c r="A32" t="s">
        <v>28</v>
      </c>
      <c r="B32" s="1">
        <f>SUMPRODUCT(lx,wa,ma)</f>
        <v>12.130227764811181</v>
      </c>
      <c r="G32">
        <f>SUMPRODUCT(dlz2_,wa,ma)</f>
        <v>-16.703914278445254</v>
      </c>
      <c r="H32">
        <f>Ro/(reck-1)*phie/phif^2*dphif</f>
        <v>-6.4500950529991918</v>
      </c>
      <c r="J32" s="8" t="s">
        <v>53</v>
      </c>
      <c r="K32">
        <v>0</v>
      </c>
      <c r="L32">
        <f t="shared" ref="L32:AH32" si="18">K32*sa-K$7*K19*K$10</f>
        <v>-2.5796142604542417E-2</v>
      </c>
      <c r="M32">
        <f t="shared" si="18"/>
        <v>-0.17282468684952912</v>
      </c>
      <c r="N32">
        <f t="shared" si="18"/>
        <v>-0.64601751445363953</v>
      </c>
      <c r="O32">
        <f t="shared" si="18"/>
        <v>-0.98934192656161901</v>
      </c>
      <c r="P32">
        <f t="shared" si="18"/>
        <v>-1.0321687475444767</v>
      </c>
      <c r="Q32">
        <f t="shared" si="18"/>
        <v>-0.9402497837896433</v>
      </c>
      <c r="R32">
        <f t="shared" si="18"/>
        <v>-0.8077488848542248</v>
      </c>
      <c r="S32">
        <f t="shared" si="18"/>
        <v>-0.6736835094603385</v>
      </c>
      <c r="T32">
        <f t="shared" si="18"/>
        <v>-0.55284448724586355</v>
      </c>
      <c r="U32">
        <f t="shared" si="18"/>
        <v>-0.44950383770841967</v>
      </c>
      <c r="V32">
        <f t="shared" si="18"/>
        <v>-0.36350733330370294</v>
      </c>
      <c r="W32">
        <f t="shared" si="18"/>
        <v>-0.29302024812669353</v>
      </c>
      <c r="X32">
        <f t="shared" si="18"/>
        <v>-0.23574739488476668</v>
      </c>
      <c r="Y32">
        <f t="shared" si="18"/>
        <v>-0.18944966041831099</v>
      </c>
      <c r="Z32">
        <f t="shared" si="18"/>
        <v>-0.15213803615102722</v>
      </c>
      <c r="AA32">
        <f t="shared" si="18"/>
        <v>-0.1221233908325392</v>
      </c>
      <c r="AB32">
        <f t="shared" si="18"/>
        <v>-9.8005273493822431E-2</v>
      </c>
      <c r="AC32">
        <f t="shared" si="18"/>
        <v>-7.8638172292992359E-2</v>
      </c>
      <c r="AD32">
        <f t="shared" si="18"/>
        <v>-6.3092435741744363E-2</v>
      </c>
      <c r="AE32">
        <f t="shared" si="18"/>
        <v>-5.0617090229985673E-2</v>
      </c>
      <c r="AF32">
        <f t="shared" si="18"/>
        <v>-4.060717752219991E-2</v>
      </c>
      <c r="AG32">
        <f t="shared" si="18"/>
        <v>-3.2576175004921382E-2</v>
      </c>
      <c r="AH32">
        <f t="shared" si="18"/>
        <v>-2.6133201414663666E-2</v>
      </c>
      <c r="AI32">
        <f>(AH32*sa-AH$7*AH19*AH$10)/oa-AH$7*AH$10*flt2_*sa/oa^2</f>
        <v>-0.10599290457540135</v>
      </c>
    </row>
    <row r="33" spans="1:35">
      <c r="A33" t="s">
        <v>27</v>
      </c>
      <c r="B33" s="1">
        <f>SUMPRODUCT(lz,wa,ma)</f>
        <v>4.8520998147135295</v>
      </c>
      <c r="G33">
        <f>SUMPRODUCT(dlz3_,wa,ma)</f>
        <v>-47.8179390471456</v>
      </c>
      <c r="H33">
        <f>Ro/(reck-1)*phie/phif^2*dphif</f>
        <v>-18.464549503262802</v>
      </c>
      <c r="J33" s="8" t="s">
        <v>54</v>
      </c>
      <c r="K33">
        <v>0</v>
      </c>
      <c r="L33">
        <f t="shared" ref="L33:AH33" si="19">K33*sa-K$7*K20*K$10</f>
        <v>-3.9035555236384412E-5</v>
      </c>
      <c r="M33">
        <f t="shared" si="19"/>
        <v>-4.3815609484132358E-4</v>
      </c>
      <c r="N33">
        <f t="shared" si="19"/>
        <v>-4.4481766518580006E-3</v>
      </c>
      <c r="O33">
        <f t="shared" si="19"/>
        <v>-4.1806473556254872E-2</v>
      </c>
      <c r="P33">
        <f t="shared" si="19"/>
        <v>-0.2373843456824811</v>
      </c>
      <c r="Q33">
        <f t="shared" si="19"/>
        <v>-0.48862736131236695</v>
      </c>
      <c r="R33">
        <f t="shared" si="19"/>
        <v>-0.6461454639355011</v>
      </c>
      <c r="S33">
        <f t="shared" si="19"/>
        <v>-0.72235409827515906</v>
      </c>
      <c r="T33">
        <f t="shared" si="19"/>
        <v>-0.7428715503630211</v>
      </c>
      <c r="U33">
        <f t="shared" si="19"/>
        <v>-0.72694990419363803</v>
      </c>
      <c r="V33">
        <f t="shared" si="19"/>
        <v>-0.68827939206465871</v>
      </c>
      <c r="W33">
        <f t="shared" si="19"/>
        <v>-0.63649668745704613</v>
      </c>
      <c r="X33">
        <f t="shared" si="19"/>
        <v>-0.57829677081429409</v>
      </c>
      <c r="Y33">
        <f t="shared" si="19"/>
        <v>-0.51823591356708809</v>
      </c>
      <c r="Z33">
        <f t="shared" si="19"/>
        <v>-0.45932052186531303</v>
      </c>
      <c r="AA33">
        <f t="shared" si="19"/>
        <v>-0.40344269340137912</v>
      </c>
      <c r="AB33">
        <f t="shared" si="19"/>
        <v>-0.35170297646625304</v>
      </c>
      <c r="AC33">
        <f t="shared" si="19"/>
        <v>-0.30464889456364952</v>
      </c>
      <c r="AD33">
        <f t="shared" si="19"/>
        <v>-0.2624502021221003</v>
      </c>
      <c r="AE33">
        <f t="shared" si="19"/>
        <v>-0.22502659918609774</v>
      </c>
      <c r="AF33">
        <f t="shared" si="19"/>
        <v>-0.19213982180542727</v>
      </c>
      <c r="AG33">
        <f t="shared" si="19"/>
        <v>-0.1634591643539629</v>
      </c>
      <c r="AH33">
        <f t="shared" si="19"/>
        <v>-0.13860731031323806</v>
      </c>
      <c r="AI33">
        <f>(AH33*sa-AH$7*AH20*AH$10)/oa-AH$7*AH$10*flt3_*sa/oa^2</f>
        <v>-0.71551713116527316</v>
      </c>
    </row>
    <row r="34" spans="1:35">
      <c r="A34" t="s">
        <v>33</v>
      </c>
      <c r="B34" s="1">
        <f>f1_*SUMPRODUCT(lz,ta1_)</f>
        <v>7.2482496807273103E-2</v>
      </c>
      <c r="C34" s="10">
        <f>phi_t1/SUM(phi_t1,phi_t2,phi_t3)</f>
        <v>0.33333013650151561</v>
      </c>
      <c r="G34" t="s">
        <v>57</v>
      </c>
      <c r="J34" s="8"/>
    </row>
    <row r="35" spans="1:35">
      <c r="A35" t="s">
        <v>34</v>
      </c>
      <c r="B35" s="1">
        <f>f2_*SUMPRODUCT(lz,ta2_)</f>
        <v>7.2482393772525411E-2</v>
      </c>
      <c r="C35" s="10">
        <f>phi_t2/SUM(phi_t1,phi_t2,phi_t3)</f>
        <v>0.33332966266868663</v>
      </c>
      <c r="G35" s="1">
        <f>SUM(dqa11_)</f>
        <v>136.71146438911074</v>
      </c>
      <c r="H35" s="1">
        <f>SUM(dqa12_)</f>
        <v>141.32829153260764</v>
      </c>
      <c r="I35" s="11">
        <f>SUM(dqa13_)</f>
        <v>136.71146438910975</v>
      </c>
      <c r="J35" s="8" t="s">
        <v>62</v>
      </c>
      <c r="K35">
        <f>flt1_*qa1_+lz*wa*flt1_^2/za*(sa-oa/za)</f>
        <v>7.6010214162441637E-11</v>
      </c>
      <c r="L35">
        <f t="shared" ref="L35:AI35" si="20">flt1_*qa1_+lz*wa*flt1_^2/za*(sa-oa/za)</f>
        <v>7.4166314318042136E-8</v>
      </c>
      <c r="M35">
        <f t="shared" si="20"/>
        <v>2.9571650125643609E-5</v>
      </c>
      <c r="N35">
        <f t="shared" si="20"/>
        <v>7.3082888404331532E-3</v>
      </c>
      <c r="O35">
        <f t="shared" si="20"/>
        <v>0.49874737370074251</v>
      </c>
      <c r="P35">
        <f t="shared" si="20"/>
        <v>2.3634477273045404</v>
      </c>
      <c r="Q35">
        <f t="shared" si="20"/>
        <v>3.519221888802369</v>
      </c>
      <c r="R35">
        <f t="shared" si="20"/>
        <v>4.3182727417528275</v>
      </c>
      <c r="S35">
        <f t="shared" si="20"/>
        <v>5.0049734831627459</v>
      </c>
      <c r="T35">
        <f t="shared" si="20"/>
        <v>5.6036701549180599</v>
      </c>
      <c r="U35">
        <f t="shared" si="20"/>
        <v>6.1174931249939553</v>
      </c>
      <c r="V35">
        <f t="shared" si="20"/>
        <v>6.5518547076763616</v>
      </c>
      <c r="W35">
        <f t="shared" si="20"/>
        <v>6.9146657289436346</v>
      </c>
      <c r="X35">
        <f t="shared" si="20"/>
        <v>7.2148884173727144</v>
      </c>
      <c r="Y35">
        <f t="shared" si="20"/>
        <v>7.4615025453800534</v>
      </c>
      <c r="Z35">
        <f t="shared" si="20"/>
        <v>7.6629099322638501</v>
      </c>
      <c r="AA35">
        <f t="shared" si="20"/>
        <v>7.8266415648626619</v>
      </c>
      <c r="AB35">
        <f t="shared" si="20"/>
        <v>7.9592552890548491</v>
      </c>
      <c r="AC35">
        <f t="shared" si="20"/>
        <v>8.0663457653706914</v>
      </c>
      <c r="AD35">
        <f t="shared" si="20"/>
        <v>8.1526149976363005</v>
      </c>
      <c r="AE35">
        <f t="shared" si="20"/>
        <v>8.2219707707251022</v>
      </c>
      <c r="AF35">
        <f t="shared" si="20"/>
        <v>8.2776333007029823</v>
      </c>
      <c r="AG35">
        <f t="shared" si="20"/>
        <v>8.32223892018723</v>
      </c>
      <c r="AH35">
        <f t="shared" si="20"/>
        <v>8.3579350315992631</v>
      </c>
      <c r="AI35">
        <f t="shared" si="20"/>
        <v>8.2878429879669113</v>
      </c>
    </row>
    <row r="36" spans="1:35">
      <c r="A36" t="s">
        <v>35</v>
      </c>
      <c r="B36" s="1">
        <f>f3_*SUMPRODUCT(lz,ta3_)</f>
        <v>7.248468529118951E-2</v>
      </c>
      <c r="C36" s="10">
        <f>phi_t3/SUM(phi_t1,phi_t2,phi_t3)</f>
        <v>0.33334020082979787</v>
      </c>
      <c r="G36" s="1">
        <f>SUM(dqa21_)</f>
        <v>141.32829153260764</v>
      </c>
      <c r="H36" s="1">
        <f>SUM(dqa22_)</f>
        <v>2.9569816276083545</v>
      </c>
      <c r="I36" s="11">
        <f>SUM(dqa23_)</f>
        <v>141.32829153256534</v>
      </c>
      <c r="J36" s="8" t="s">
        <v>63</v>
      </c>
      <c r="K36">
        <f t="shared" ref="K36:AI36" si="21">flt2_*qa2_+lz*wa*flt2_^2/za*(sa-oa/za)</f>
        <v>3.3218283062188014E-5</v>
      </c>
      <c r="L36">
        <f t="shared" si="21"/>
        <v>1.0324624766700524E-2</v>
      </c>
      <c r="M36">
        <f t="shared" si="21"/>
        <v>0.44883340816069484</v>
      </c>
      <c r="N36">
        <f t="shared" si="21"/>
        <v>1.0851936729063125</v>
      </c>
      <c r="O36">
        <f t="shared" si="21"/>
        <v>0.72452622265170485</v>
      </c>
      <c r="P36">
        <f t="shared" si="21"/>
        <v>0.37433642592833344</v>
      </c>
      <c r="Q36">
        <f t="shared" si="21"/>
        <v>0.17768097690496787</v>
      </c>
      <c r="R36">
        <f t="shared" si="21"/>
        <v>7.9234655401247814E-2</v>
      </c>
      <c r="S36">
        <f t="shared" si="21"/>
        <v>3.3751746641726019E-2</v>
      </c>
      <c r="T36">
        <f t="shared" si="21"/>
        <v>1.3901392828401776E-2</v>
      </c>
      <c r="U36">
        <f t="shared" si="21"/>
        <v>5.5832043499768162E-3</v>
      </c>
      <c r="V36">
        <f t="shared" si="21"/>
        <v>2.199891604728851E-3</v>
      </c>
      <c r="W36">
        <f t="shared" si="21"/>
        <v>8.541525217000323E-4</v>
      </c>
      <c r="X36">
        <f t="shared" si="21"/>
        <v>3.2788465131285328E-4</v>
      </c>
      <c r="Y36">
        <f t="shared" si="21"/>
        <v>1.2475127489560214E-4</v>
      </c>
      <c r="Z36">
        <f t="shared" si="21"/>
        <v>4.7134581448612226E-5</v>
      </c>
      <c r="AA36">
        <f t="shared" si="21"/>
        <v>1.7711225466512465E-5</v>
      </c>
      <c r="AB36">
        <f t="shared" si="21"/>
        <v>6.6263265478077122E-6</v>
      </c>
      <c r="AC36">
        <f t="shared" si="21"/>
        <v>2.47061154529302E-6</v>
      </c>
      <c r="AD36">
        <f t="shared" si="21"/>
        <v>9.1865363688934303E-7</v>
      </c>
      <c r="AE36">
        <f t="shared" si="21"/>
        <v>3.408458625376852E-7</v>
      </c>
      <c r="AF36">
        <f t="shared" si="21"/>
        <v>1.2624538586758636E-7</v>
      </c>
      <c r="AG36">
        <f t="shared" si="21"/>
        <v>4.6695684211335232E-8</v>
      </c>
      <c r="AH36">
        <f t="shared" si="21"/>
        <v>1.7252927106399014E-8</v>
      </c>
      <c r="AI36">
        <f t="shared" si="21"/>
        <v>6.2940841375389239E-9</v>
      </c>
    </row>
    <row r="37" spans="1:35">
      <c r="A37" s="1" t="s">
        <v>36</v>
      </c>
      <c r="B37" s="1">
        <f>SUMPRODUCT(lz,qa1_)</f>
        <v>11.745740426975647</v>
      </c>
      <c r="G37" s="1">
        <f>SUM(dqa31_)</f>
        <v>136.71146438910975</v>
      </c>
      <c r="H37" s="1">
        <f>SUM(dqa32_)</f>
        <v>141.32829153256534</v>
      </c>
      <c r="I37" s="1">
        <f>SUM(dqa33_)</f>
        <v>136.71146438911657</v>
      </c>
      <c r="J37" s="8" t="s">
        <v>64</v>
      </c>
      <c r="K37">
        <f t="shared" ref="K37:AI37" si="22">flt3_*qa3_+lz*wa*flt3_^2/za*(sa-oa/za)</f>
        <v>7.606561229163098E-11</v>
      </c>
      <c r="L37">
        <f t="shared" si="22"/>
        <v>7.4166411383356007E-8</v>
      </c>
      <c r="M37">
        <f t="shared" si="22"/>
        <v>2.9571650374104112E-5</v>
      </c>
      <c r="N37">
        <f t="shared" si="22"/>
        <v>7.3082888415232639E-3</v>
      </c>
      <c r="O37">
        <f t="shared" si="22"/>
        <v>0.49874737370371802</v>
      </c>
      <c r="P37">
        <f t="shared" si="22"/>
        <v>2.3634477273056191</v>
      </c>
      <c r="Q37">
        <f t="shared" si="22"/>
        <v>3.5192218888025741</v>
      </c>
      <c r="R37">
        <f t="shared" si="22"/>
        <v>4.3182727417528781</v>
      </c>
      <c r="S37">
        <f t="shared" si="22"/>
        <v>5.0049734831627619</v>
      </c>
      <c r="T37">
        <f t="shared" si="22"/>
        <v>5.603670154918067</v>
      </c>
      <c r="U37">
        <f t="shared" si="22"/>
        <v>6.117493124993957</v>
      </c>
      <c r="V37">
        <f t="shared" si="22"/>
        <v>6.551854707676366</v>
      </c>
      <c r="W37">
        <f t="shared" si="22"/>
        <v>6.9146657289436346</v>
      </c>
      <c r="X37">
        <f t="shared" si="22"/>
        <v>7.2148884173727144</v>
      </c>
      <c r="Y37">
        <f t="shared" si="22"/>
        <v>7.4615025453800534</v>
      </c>
      <c r="Z37">
        <f t="shared" si="22"/>
        <v>7.6629099322638501</v>
      </c>
      <c r="AA37">
        <f t="shared" si="22"/>
        <v>7.8266415648626619</v>
      </c>
      <c r="AB37">
        <f t="shared" si="22"/>
        <v>7.9592552890548491</v>
      </c>
      <c r="AC37">
        <f t="shared" si="22"/>
        <v>8.0663457653706914</v>
      </c>
      <c r="AD37">
        <f t="shared" si="22"/>
        <v>8.1526149976363005</v>
      </c>
      <c r="AE37">
        <f t="shared" si="22"/>
        <v>8.2219707707251022</v>
      </c>
      <c r="AF37">
        <f t="shared" si="22"/>
        <v>8.2776333007029823</v>
      </c>
      <c r="AG37">
        <f t="shared" si="22"/>
        <v>8.32223892018723</v>
      </c>
      <c r="AH37">
        <f t="shared" si="22"/>
        <v>8.3579350315992631</v>
      </c>
      <c r="AI37">
        <f t="shared" si="22"/>
        <v>8.2878429879669113</v>
      </c>
    </row>
    <row r="38" spans="1:35">
      <c r="A38" s="1" t="s">
        <v>37</v>
      </c>
      <c r="B38" s="1">
        <f>SUMPRODUCT(lz,qa2_)</f>
        <v>3.7046378693679896</v>
      </c>
      <c r="G38" t="s">
        <v>69</v>
      </c>
      <c r="J38" s="8" t="s">
        <v>60</v>
      </c>
      <c r="K38">
        <f t="shared" ref="K38:AI38" si="23">flt1_*qa1_+lz*wa*flt2_*flt1_/za*(sa-oa/za)</f>
        <v>-4.7630744103785547E-8</v>
      </c>
      <c r="L38">
        <f t="shared" si="23"/>
        <v>-1.9786800198708514E-5</v>
      </c>
      <c r="M38">
        <f t="shared" si="23"/>
        <v>-1.9648280948683576E-3</v>
      </c>
      <c r="N38">
        <f t="shared" si="23"/>
        <v>-2.6973682461303914E-2</v>
      </c>
      <c r="O38">
        <f t="shared" si="23"/>
        <v>0.46589044977590599</v>
      </c>
      <c r="P38">
        <f t="shared" si="23"/>
        <v>2.7110243001172756</v>
      </c>
      <c r="Q38">
        <f t="shared" si="23"/>
        <v>4.0236017421319383</v>
      </c>
      <c r="R38">
        <f t="shared" si="23"/>
        <v>4.8474844141317206</v>
      </c>
      <c r="S38">
        <f t="shared" si="23"/>
        <v>5.5102576572866599</v>
      </c>
      <c r="T38">
        <f t="shared" si="23"/>
        <v>6.0619145383255244</v>
      </c>
      <c r="U38">
        <f t="shared" si="23"/>
        <v>6.519408778197703</v>
      </c>
      <c r="V38">
        <f t="shared" si="23"/>
        <v>6.8963535683228692</v>
      </c>
      <c r="W38">
        <f t="shared" si="23"/>
        <v>7.2051732906077728</v>
      </c>
      <c r="X38">
        <f t="shared" si="23"/>
        <v>7.456982993820449</v>
      </c>
      <c r="Y38">
        <f t="shared" si="23"/>
        <v>7.6614935659304839</v>
      </c>
      <c r="Z38">
        <f t="shared" si="23"/>
        <v>7.8270376285618246</v>
      </c>
      <c r="AA38">
        <f t="shared" si="23"/>
        <v>7.9606660918888119</v>
      </c>
      <c r="AB38">
        <f t="shared" si="23"/>
        <v>8.0682791742265394</v>
      </c>
      <c r="AC38">
        <f t="shared" si="23"/>
        <v>8.1547698014151457</v>
      </c>
      <c r="AD38">
        <f t="shared" si="23"/>
        <v>8.2241658843938357</v>
      </c>
      <c r="AE38">
        <f t="shared" si="23"/>
        <v>8.2797635268315481</v>
      </c>
      <c r="AF38">
        <f t="shared" si="23"/>
        <v>8.3242469847252476</v>
      </c>
      <c r="AG38">
        <f t="shared" si="23"/>
        <v>8.3597937308155608</v>
      </c>
      <c r="AH38">
        <f t="shared" si="23"/>
        <v>8.3881645923889732</v>
      </c>
      <c r="AI38">
        <f t="shared" si="23"/>
        <v>8.4107771636989721</v>
      </c>
    </row>
    <row r="39" spans="1:35">
      <c r="A39" s="1" t="s">
        <v>38</v>
      </c>
      <c r="B39" s="1">
        <f>SUMPRODUCT(lz,qa3_)</f>
        <v>11.745740428325337</v>
      </c>
      <c r="G39" s="1">
        <f>re*phi_q1+f1_*phi_q1*$H31+f1_*re*G35</f>
        <v>110.26056183089537</v>
      </c>
      <c r="H39" s="1">
        <f>re*phi_q1+f1_*phi_q1*$H32+f1_*re*H35</f>
        <v>116.38652537399793</v>
      </c>
      <c r="I39" s="1">
        <f>re*phi_q1+f1_*phi_q1*$H33+f1_*re*I35</f>
        <v>110.26056181856346</v>
      </c>
      <c r="J39" s="8" t="s">
        <v>66</v>
      </c>
      <c r="K39">
        <f t="shared" ref="K39:AI39" si="24">flt1_*qa1_+lz*wa*flt3_*flt1_/za*(sa-oa/za)</f>
        <v>7.5983881259288646E-11</v>
      </c>
      <c r="L39">
        <f t="shared" si="24"/>
        <v>7.4166279391195771E-8</v>
      </c>
      <c r="M39">
        <f t="shared" si="24"/>
        <v>2.9571650057079199E-5</v>
      </c>
      <c r="N39">
        <f t="shared" si="24"/>
        <v>7.3082888402045774E-3</v>
      </c>
      <c r="O39">
        <f t="shared" si="24"/>
        <v>0.49874737370026512</v>
      </c>
      <c r="P39">
        <f t="shared" si="24"/>
        <v>2.3634477273044086</v>
      </c>
      <c r="Q39">
        <f t="shared" si="24"/>
        <v>3.5192218888023499</v>
      </c>
      <c r="R39">
        <f t="shared" si="24"/>
        <v>4.3182727417528239</v>
      </c>
      <c r="S39">
        <f t="shared" si="24"/>
        <v>5.004973483162745</v>
      </c>
      <c r="T39">
        <f t="shared" si="24"/>
        <v>5.603670154918059</v>
      </c>
      <c r="U39">
        <f t="shared" si="24"/>
        <v>6.1174931249939553</v>
      </c>
      <c r="V39">
        <f t="shared" si="24"/>
        <v>6.5518547076763616</v>
      </c>
      <c r="W39">
        <f t="shared" si="24"/>
        <v>6.9146657289436346</v>
      </c>
      <c r="X39">
        <f t="shared" si="24"/>
        <v>7.2148884173727144</v>
      </c>
      <c r="Y39">
        <f t="shared" si="24"/>
        <v>7.4615025453800534</v>
      </c>
      <c r="Z39">
        <f t="shared" si="24"/>
        <v>7.6629099322638501</v>
      </c>
      <c r="AA39">
        <f t="shared" si="24"/>
        <v>7.8266415648626619</v>
      </c>
      <c r="AB39">
        <f t="shared" si="24"/>
        <v>7.9592552890548491</v>
      </c>
      <c r="AC39">
        <f t="shared" si="24"/>
        <v>8.0663457653706914</v>
      </c>
      <c r="AD39">
        <f t="shared" si="24"/>
        <v>8.1526149976363005</v>
      </c>
      <c r="AE39">
        <f t="shared" si="24"/>
        <v>8.2219707707251022</v>
      </c>
      <c r="AF39">
        <f t="shared" si="24"/>
        <v>8.2776333007029823</v>
      </c>
      <c r="AG39">
        <f t="shared" si="24"/>
        <v>8.32223892018723</v>
      </c>
      <c r="AH39">
        <f t="shared" si="24"/>
        <v>8.3579350315992631</v>
      </c>
      <c r="AI39">
        <f t="shared" si="24"/>
        <v>8.2878429879669113</v>
      </c>
    </row>
    <row r="40" spans="1:35">
      <c r="G40" s="1">
        <f>re*phi_q1+f1_*phi_q1*$H32+f1_*re*G36</f>
        <v>116.38652537399793</v>
      </c>
      <c r="H40" s="1">
        <f>re*phi_q2+f2_*phi_q2*$H32+f2_*re*H36</f>
        <v>26.260926189133844</v>
      </c>
      <c r="I40" s="1">
        <f>re*phi_q3+f3_*phi_q3*$H33+f3_*re*I36</f>
        <v>111.41873308685707</v>
      </c>
      <c r="J40" s="8" t="s">
        <v>65</v>
      </c>
      <c r="K40">
        <f t="shared" ref="K40:AI40" si="25">flt1_*qa1_+lz*wa*flt1_*flt2_/za*(sa-oa/za)</f>
        <v>-4.763074410378554E-8</v>
      </c>
      <c r="L40">
        <f t="shared" si="25"/>
        <v>-1.9786800198708514E-5</v>
      </c>
      <c r="M40">
        <f t="shared" si="25"/>
        <v>-1.9648280948683576E-3</v>
      </c>
      <c r="N40">
        <f t="shared" si="25"/>
        <v>-2.6973682461303914E-2</v>
      </c>
      <c r="O40">
        <f t="shared" si="25"/>
        <v>0.46589044977590599</v>
      </c>
      <c r="P40">
        <f t="shared" si="25"/>
        <v>2.7110243001172756</v>
      </c>
      <c r="Q40">
        <f t="shared" si="25"/>
        <v>4.0236017421319383</v>
      </c>
      <c r="R40">
        <f t="shared" si="25"/>
        <v>4.8474844141317206</v>
      </c>
      <c r="S40">
        <f t="shared" si="25"/>
        <v>5.5102576572866599</v>
      </c>
      <c r="T40">
        <f t="shared" si="25"/>
        <v>6.0619145383255244</v>
      </c>
      <c r="U40">
        <f t="shared" si="25"/>
        <v>6.519408778197703</v>
      </c>
      <c r="V40">
        <f t="shared" si="25"/>
        <v>6.8963535683228692</v>
      </c>
      <c r="W40">
        <f t="shared" si="25"/>
        <v>7.2051732906077728</v>
      </c>
      <c r="X40">
        <f t="shared" si="25"/>
        <v>7.456982993820449</v>
      </c>
      <c r="Y40">
        <f t="shared" si="25"/>
        <v>7.6614935659304839</v>
      </c>
      <c r="Z40">
        <f t="shared" si="25"/>
        <v>7.8270376285618246</v>
      </c>
      <c r="AA40">
        <f t="shared" si="25"/>
        <v>7.9606660918888119</v>
      </c>
      <c r="AB40">
        <f t="shared" si="25"/>
        <v>8.0682791742265394</v>
      </c>
      <c r="AC40">
        <f t="shared" si="25"/>
        <v>8.1547698014151457</v>
      </c>
      <c r="AD40">
        <f t="shared" si="25"/>
        <v>8.2241658843938357</v>
      </c>
      <c r="AE40">
        <f t="shared" si="25"/>
        <v>8.2797635268315481</v>
      </c>
      <c r="AF40">
        <f t="shared" si="25"/>
        <v>8.3242469847252476</v>
      </c>
      <c r="AG40">
        <f t="shared" si="25"/>
        <v>8.3597937308155608</v>
      </c>
      <c r="AH40">
        <f t="shared" si="25"/>
        <v>8.3881645923889732</v>
      </c>
      <c r="AI40">
        <f t="shared" si="25"/>
        <v>8.4107771636989721</v>
      </c>
    </row>
    <row r="41" spans="1:35">
      <c r="A41" s="15" t="s">
        <v>39</v>
      </c>
      <c r="B41" s="16"/>
      <c r="C41" s="16"/>
      <c r="G41" s="1">
        <f>re*phi_q1+f1_*phi_q1*$H33+f1_*re*G37</f>
        <v>110.26056181856346</v>
      </c>
      <c r="H41" s="1">
        <f>re*phi_q3+f3_*phi_q3*$H33+f3_*re*H37</f>
        <v>111.41873308685707</v>
      </c>
      <c r="I41" s="1">
        <f>re*phi_q3+f1_*phi_q3*$H33+f3_*re*I37</f>
        <v>110.26159630277692</v>
      </c>
      <c r="J41" s="8" t="s">
        <v>67</v>
      </c>
      <c r="K41">
        <f t="shared" ref="K41:AI41" si="26">flt1_*qa1_+lz*wa*flt3_*flt2_/za*(sa-oa/za)</f>
        <v>-4.7648152203054232E-8</v>
      </c>
      <c r="L41">
        <f t="shared" si="26"/>
        <v>-1.9786813230171155E-5</v>
      </c>
      <c r="M41">
        <f t="shared" si="26"/>
        <v>-1.964828103315378E-3</v>
      </c>
      <c r="N41">
        <f t="shared" si="26"/>
        <v>-2.6973682464089255E-2</v>
      </c>
      <c r="O41">
        <f t="shared" si="26"/>
        <v>0.46589044977533051</v>
      </c>
      <c r="P41">
        <f t="shared" si="26"/>
        <v>2.7110243001172232</v>
      </c>
      <c r="Q41">
        <f t="shared" si="26"/>
        <v>4.0236017421319339</v>
      </c>
      <c r="R41">
        <f t="shared" si="26"/>
        <v>4.8474844141317206</v>
      </c>
      <c r="S41">
        <f t="shared" si="26"/>
        <v>5.5102576572866591</v>
      </c>
      <c r="T41">
        <f t="shared" si="26"/>
        <v>6.0619145383255244</v>
      </c>
      <c r="U41">
        <f t="shared" si="26"/>
        <v>6.519408778197703</v>
      </c>
      <c r="V41">
        <f t="shared" si="26"/>
        <v>6.8963535683228692</v>
      </c>
      <c r="W41">
        <f t="shared" si="26"/>
        <v>7.2051732906077728</v>
      </c>
      <c r="X41">
        <f t="shared" si="26"/>
        <v>7.456982993820449</v>
      </c>
      <c r="Y41">
        <f t="shared" si="26"/>
        <v>7.6614935659304839</v>
      </c>
      <c r="Z41">
        <f t="shared" si="26"/>
        <v>7.8270376285618246</v>
      </c>
      <c r="AA41">
        <f t="shared" si="26"/>
        <v>7.9606660918888119</v>
      </c>
      <c r="AB41">
        <f t="shared" si="26"/>
        <v>8.0682791742265394</v>
      </c>
      <c r="AC41">
        <f t="shared" si="26"/>
        <v>8.1547698014151457</v>
      </c>
      <c r="AD41">
        <f t="shared" si="26"/>
        <v>8.2241658843938357</v>
      </c>
      <c r="AE41">
        <f t="shared" si="26"/>
        <v>8.2797635268315481</v>
      </c>
      <c r="AF41">
        <f t="shared" si="26"/>
        <v>8.3242469847252476</v>
      </c>
      <c r="AG41">
        <f t="shared" si="26"/>
        <v>8.3597937308155608</v>
      </c>
      <c r="AH41">
        <f t="shared" si="26"/>
        <v>8.3881645923889732</v>
      </c>
      <c r="AI41">
        <f t="shared" si="26"/>
        <v>8.4107771636989721</v>
      </c>
    </row>
    <row r="42" spans="1:35">
      <c r="A42" s="1" t="s">
        <v>40</v>
      </c>
      <c r="B42" s="1">
        <f>phif/phie</f>
        <v>0.40000071794109937</v>
      </c>
      <c r="J42" s="8" t="s">
        <v>68</v>
      </c>
      <c r="K42">
        <f t="shared" ref="K42:AI42" si="27">flt1_*qa1_+lz*wa*flt1_*flt3_/za*(sa-oa/za)</f>
        <v>7.5983881259288646E-11</v>
      </c>
      <c r="L42">
        <f t="shared" si="27"/>
        <v>7.4166279391195771E-8</v>
      </c>
      <c r="M42">
        <f t="shared" si="27"/>
        <v>2.9571650057079199E-5</v>
      </c>
      <c r="N42">
        <f t="shared" si="27"/>
        <v>7.3082888402045774E-3</v>
      </c>
      <c r="O42">
        <f t="shared" si="27"/>
        <v>0.49874737370026512</v>
      </c>
      <c r="P42">
        <f t="shared" si="27"/>
        <v>2.3634477273044086</v>
      </c>
      <c r="Q42">
        <f t="shared" si="27"/>
        <v>3.5192218888023499</v>
      </c>
      <c r="R42">
        <f t="shared" si="27"/>
        <v>4.3182727417528239</v>
      </c>
      <c r="S42">
        <f t="shared" si="27"/>
        <v>5.004973483162745</v>
      </c>
      <c r="T42">
        <f t="shared" si="27"/>
        <v>5.603670154918059</v>
      </c>
      <c r="U42">
        <f t="shared" si="27"/>
        <v>6.1174931249939553</v>
      </c>
      <c r="V42">
        <f t="shared" si="27"/>
        <v>6.5518547076763616</v>
      </c>
      <c r="W42">
        <f t="shared" si="27"/>
        <v>6.9146657289436346</v>
      </c>
      <c r="X42">
        <f t="shared" si="27"/>
        <v>7.2148884173727144</v>
      </c>
      <c r="Y42">
        <f t="shared" si="27"/>
        <v>7.4615025453800534</v>
      </c>
      <c r="Z42">
        <f t="shared" si="27"/>
        <v>7.6629099322638501</v>
      </c>
      <c r="AA42">
        <f t="shared" si="27"/>
        <v>7.8266415648626619</v>
      </c>
      <c r="AB42">
        <f t="shared" si="27"/>
        <v>7.9592552890548491</v>
      </c>
      <c r="AC42">
        <f t="shared" si="27"/>
        <v>8.0663457653706914</v>
      </c>
      <c r="AD42">
        <f t="shared" si="27"/>
        <v>8.1526149976363005</v>
      </c>
      <c r="AE42">
        <f t="shared" si="27"/>
        <v>8.2219707707251022</v>
      </c>
      <c r="AF42">
        <f t="shared" si="27"/>
        <v>8.2776333007029823</v>
      </c>
      <c r="AG42">
        <f t="shared" si="27"/>
        <v>8.32223892018723</v>
      </c>
      <c r="AH42">
        <f t="shared" si="27"/>
        <v>8.3579350315992631</v>
      </c>
      <c r="AI42">
        <f t="shared" si="27"/>
        <v>8.2878429879669113</v>
      </c>
    </row>
    <row r="43" spans="1:35">
      <c r="A43" s="1" t="s">
        <v>41</v>
      </c>
      <c r="B43" s="11">
        <f>MAX(0,Ro*(reck-1/spr)/(reck-1))</f>
        <v>7.1197077936331228</v>
      </c>
      <c r="J43" s="8" t="s">
        <v>61</v>
      </c>
      <c r="K43">
        <f t="shared" ref="K43:AI43" si="28">flt1_*qa1_+lz*wa*flt2_*flt3_/za*(sa-oa/za)</f>
        <v>-4.7648152203054232E-8</v>
      </c>
      <c r="L43">
        <f t="shared" si="28"/>
        <v>-1.9786813230171155E-5</v>
      </c>
      <c r="M43">
        <f t="shared" si="28"/>
        <v>-1.964828103315378E-3</v>
      </c>
      <c r="N43">
        <f t="shared" si="28"/>
        <v>-2.6973682464089255E-2</v>
      </c>
      <c r="O43">
        <f t="shared" si="28"/>
        <v>0.46589044977533051</v>
      </c>
      <c r="P43">
        <f t="shared" si="28"/>
        <v>2.7110243001172232</v>
      </c>
      <c r="Q43">
        <f t="shared" si="28"/>
        <v>4.0236017421319339</v>
      </c>
      <c r="R43">
        <f t="shared" si="28"/>
        <v>4.8474844141317206</v>
      </c>
      <c r="S43">
        <f t="shared" si="28"/>
        <v>5.5102576572866591</v>
      </c>
      <c r="T43">
        <f t="shared" si="28"/>
        <v>6.0619145383255244</v>
      </c>
      <c r="U43">
        <f t="shared" si="28"/>
        <v>6.519408778197703</v>
      </c>
      <c r="V43">
        <f t="shared" si="28"/>
        <v>6.8963535683228692</v>
      </c>
      <c r="W43">
        <f t="shared" si="28"/>
        <v>7.2051732906077728</v>
      </c>
      <c r="X43">
        <f t="shared" si="28"/>
        <v>7.456982993820449</v>
      </c>
      <c r="Y43">
        <f t="shared" si="28"/>
        <v>7.6614935659304839</v>
      </c>
      <c r="Z43">
        <f t="shared" si="28"/>
        <v>7.8270376285618246</v>
      </c>
      <c r="AA43">
        <f t="shared" si="28"/>
        <v>7.9606660918888119</v>
      </c>
      <c r="AB43">
        <f t="shared" si="28"/>
        <v>8.0682791742265394</v>
      </c>
      <c r="AC43">
        <f t="shared" si="28"/>
        <v>8.1547698014151457</v>
      </c>
      <c r="AD43">
        <f t="shared" si="28"/>
        <v>8.2241658843938357</v>
      </c>
      <c r="AE43">
        <f t="shared" si="28"/>
        <v>8.2797635268315481</v>
      </c>
      <c r="AF43">
        <f t="shared" si="28"/>
        <v>8.3242469847252476</v>
      </c>
      <c r="AG43">
        <f t="shared" si="28"/>
        <v>8.3597937308155608</v>
      </c>
      <c r="AH43">
        <f t="shared" si="28"/>
        <v>8.3881645923889732</v>
      </c>
      <c r="AI43">
        <f t="shared" si="28"/>
        <v>8.4107771636989721</v>
      </c>
    </row>
    <row r="44" spans="1:35">
      <c r="A44" s="1" t="s">
        <v>43</v>
      </c>
      <c r="B44" s="1">
        <f>f1_*re*phi_q1</f>
        <v>2.9443869019615287</v>
      </c>
      <c r="C44" s="20">
        <f>ye_1/SUM(ye_1,ye_2,ye_3)</f>
        <v>0.4232805123398507</v>
      </c>
    </row>
    <row r="45" spans="1:35">
      <c r="A45" s="1" t="s">
        <v>44</v>
      </c>
      <c r="B45" s="1">
        <f>f2_*re*phi_q2</f>
        <v>1.0672499097516894</v>
      </c>
      <c r="C45" s="20">
        <f>ye_2/SUM(ye_1,ye_2,ye_3)</f>
        <v>0.15342619826674431</v>
      </c>
      <c r="J45" s="2" t="s">
        <v>88</v>
      </c>
    </row>
    <row r="46" spans="1:35" ht="19" thickBot="1">
      <c r="A46" s="1" t="s">
        <v>45</v>
      </c>
      <c r="B46" s="1">
        <f>f3_*re*phi_q3</f>
        <v>2.9444757805846495</v>
      </c>
      <c r="C46" s="20">
        <f>ye_3/SUM(ye_1,ye_2,ye_3)</f>
        <v>0.42329328939340488</v>
      </c>
      <c r="G46" s="32" t="s">
        <v>70</v>
      </c>
      <c r="H46" s="32"/>
      <c r="I46" s="32"/>
      <c r="J46" s="8" t="s">
        <v>76</v>
      </c>
      <c r="K46">
        <f t="shared" ref="K46:AI46" si="29">lz*qa1_</f>
        <v>3.2667895782250959E-6</v>
      </c>
      <c r="L46">
        <f t="shared" si="29"/>
        <v>1.9830685531339992E-4</v>
      </c>
      <c r="M46">
        <f t="shared" si="29"/>
        <v>5.0303359246510471E-3</v>
      </c>
      <c r="N46">
        <f t="shared" si="29"/>
        <v>8.3472232294431778E-2</v>
      </c>
      <c r="O46">
        <f t="shared" si="29"/>
        <v>0.66332183097283803</v>
      </c>
      <c r="P46">
        <f t="shared" si="29"/>
        <v>1.2991013849339932</v>
      </c>
      <c r="Q46">
        <f t="shared" si="29"/>
        <v>1.3617080550460643</v>
      </c>
      <c r="R46">
        <f t="shared" si="29"/>
        <v>1.2727438014037058</v>
      </c>
      <c r="S46">
        <f t="shared" si="29"/>
        <v>1.1436126364169148</v>
      </c>
      <c r="T46">
        <f t="shared" si="29"/>
        <v>1.0016351835143371</v>
      </c>
      <c r="U46">
        <f t="shared" si="29"/>
        <v>0.86065931313945654</v>
      </c>
      <c r="V46">
        <f t="shared" si="29"/>
        <v>0.7287323518508827</v>
      </c>
      <c r="W46">
        <f t="shared" si="29"/>
        <v>0.61002643916074317</v>
      </c>
      <c r="X46">
        <f t="shared" si="29"/>
        <v>0.50612462876630904</v>
      </c>
      <c r="Y46">
        <f t="shared" si="29"/>
        <v>0.4169916809889424</v>
      </c>
      <c r="Z46">
        <f t="shared" si="29"/>
        <v>0.34166745780758895</v>
      </c>
      <c r="AA46">
        <f t="shared" si="29"/>
        <v>0.27873349161480548</v>
      </c>
      <c r="AB46">
        <f t="shared" si="29"/>
        <v>0.22660949204669933</v>
      </c>
      <c r="AC46">
        <f t="shared" si="29"/>
        <v>0.18373013222111853</v>
      </c>
      <c r="AD46">
        <f t="shared" si="29"/>
        <v>0.14864165408335045</v>
      </c>
      <c r="AE46">
        <f t="shared" si="29"/>
        <v>0.12004715305378347</v>
      </c>
      <c r="AF46">
        <f t="shared" si="29"/>
        <v>9.6820556029183269E-2</v>
      </c>
      <c r="AG46">
        <f t="shared" si="29"/>
        <v>7.8002620743326909E-2</v>
      </c>
      <c r="AH46">
        <f t="shared" si="29"/>
        <v>6.2787514438517655E-2</v>
      </c>
      <c r="AI46">
        <f t="shared" si="29"/>
        <v>0.25533890687910993</v>
      </c>
    </row>
    <row r="47" spans="1:35" ht="19" thickTop="1">
      <c r="A47" s="1" t="s">
        <v>73</v>
      </c>
      <c r="B47" s="1">
        <f>SUM(B44:B46)</f>
        <v>6.9561125922978686</v>
      </c>
      <c r="F47" t="s">
        <v>85</v>
      </c>
      <c r="G47" s="31">
        <f>G39/G53</f>
        <v>1</v>
      </c>
      <c r="H47" s="31">
        <f>H53/H39</f>
        <v>0.46234100977901238</v>
      </c>
      <c r="I47" s="31">
        <f>I53/I39</f>
        <v>1.0000046911339013</v>
      </c>
      <c r="J47" s="8" t="s">
        <v>77</v>
      </c>
      <c r="K47">
        <f t="shared" ref="K47:AI47" si="30">lz*qa2_</f>
        <v>2.159602264030384E-3</v>
      </c>
      <c r="L47">
        <f t="shared" si="30"/>
        <v>7.3989742760603577E-2</v>
      </c>
      <c r="M47">
        <f t="shared" si="30"/>
        <v>0.61972896706756475</v>
      </c>
      <c r="N47">
        <f t="shared" si="30"/>
        <v>1.0171565563551617</v>
      </c>
      <c r="O47">
        <f t="shared" si="30"/>
        <v>0.79948631490890709</v>
      </c>
      <c r="P47">
        <f t="shared" si="30"/>
        <v>0.51701255535038293</v>
      </c>
      <c r="Q47">
        <f t="shared" si="30"/>
        <v>0.30597162150444701</v>
      </c>
      <c r="R47">
        <f t="shared" si="30"/>
        <v>0.17240249351939474</v>
      </c>
      <c r="S47">
        <f t="shared" si="30"/>
        <v>9.3913101014202041E-2</v>
      </c>
      <c r="T47">
        <f t="shared" si="30"/>
        <v>4.9888729868471884E-2</v>
      </c>
      <c r="U47">
        <f t="shared" si="30"/>
        <v>2.6000774782043309E-2</v>
      </c>
      <c r="V47">
        <f t="shared" si="30"/>
        <v>1.3353237163801107E-2</v>
      </c>
      <c r="W47">
        <f t="shared" si="30"/>
        <v>6.7800169062429234E-3</v>
      </c>
      <c r="X47">
        <f t="shared" si="30"/>
        <v>3.4119542990977249E-3</v>
      </c>
      <c r="Y47">
        <f t="shared" si="30"/>
        <v>1.7050485173942631E-3</v>
      </c>
      <c r="Z47">
        <f t="shared" si="30"/>
        <v>8.4737682694399673E-4</v>
      </c>
      <c r="AA47">
        <f t="shared" si="30"/>
        <v>4.1930084583508085E-4</v>
      </c>
      <c r="AB47">
        <f t="shared" si="30"/>
        <v>2.0676560527782718E-4</v>
      </c>
      <c r="AC47">
        <f t="shared" si="30"/>
        <v>1.0168202901565561E-4</v>
      </c>
      <c r="AD47">
        <f t="shared" si="30"/>
        <v>4.989625632702485E-5</v>
      </c>
      <c r="AE47">
        <f t="shared" si="30"/>
        <v>2.4442347494756654E-5</v>
      </c>
      <c r="AF47">
        <f t="shared" si="30"/>
        <v>1.1957000236627482E-5</v>
      </c>
      <c r="AG47">
        <f t="shared" si="30"/>
        <v>5.8428868522299395E-6</v>
      </c>
      <c r="AH47">
        <f t="shared" si="30"/>
        <v>2.8526940039701282E-6</v>
      </c>
      <c r="AI47">
        <f t="shared" si="30"/>
        <v>7.0365942559820988E-6</v>
      </c>
    </row>
    <row r="48" spans="1:35">
      <c r="A48" s="1"/>
      <c r="B48" s="1"/>
      <c r="F48" t="s">
        <v>86</v>
      </c>
      <c r="G48" s="31">
        <f>G40/G54</f>
        <v>2.162905688331596</v>
      </c>
      <c r="H48" s="31">
        <f t="shared" ref="H48:I48" si="31">H40/H54</f>
        <v>1</v>
      </c>
      <c r="I48" s="31">
        <f>I54/I40</f>
        <v>0.4829575296756457</v>
      </c>
      <c r="J48" s="8" t="s">
        <v>78</v>
      </c>
      <c r="K48">
        <f t="shared" ref="K48:AI48" si="32">lz*qa3_</f>
        <v>3.2679798200268268E-6</v>
      </c>
      <c r="L48">
        <f t="shared" si="32"/>
        <v>1.9830698508060648E-4</v>
      </c>
      <c r="M48">
        <f t="shared" si="32"/>
        <v>5.030335945783445E-3</v>
      </c>
      <c r="N48">
        <f t="shared" si="32"/>
        <v>8.3472232300657173E-2</v>
      </c>
      <c r="O48">
        <f t="shared" si="32"/>
        <v>0.66332183097481667</v>
      </c>
      <c r="P48">
        <f t="shared" si="32"/>
        <v>1.2991013849342896</v>
      </c>
      <c r="Q48">
        <f t="shared" si="32"/>
        <v>1.361708055046104</v>
      </c>
      <c r="R48">
        <f t="shared" si="32"/>
        <v>1.2727438014037131</v>
      </c>
      <c r="S48">
        <f t="shared" si="32"/>
        <v>1.1436126364169166</v>
      </c>
      <c r="T48">
        <f t="shared" si="32"/>
        <v>1.0016351835143378</v>
      </c>
      <c r="U48">
        <f t="shared" si="32"/>
        <v>0.86065931313945665</v>
      </c>
      <c r="V48">
        <f t="shared" si="32"/>
        <v>0.72873235185088303</v>
      </c>
      <c r="W48">
        <f t="shared" si="32"/>
        <v>0.61002643916074317</v>
      </c>
      <c r="X48">
        <f t="shared" si="32"/>
        <v>0.50612462876630904</v>
      </c>
      <c r="Y48">
        <f t="shared" si="32"/>
        <v>0.4169916809889424</v>
      </c>
      <c r="Z48">
        <f t="shared" si="32"/>
        <v>0.34166745780758895</v>
      </c>
      <c r="AA48">
        <f t="shared" si="32"/>
        <v>0.27873349161480548</v>
      </c>
      <c r="AB48">
        <f t="shared" si="32"/>
        <v>0.22660949204669933</v>
      </c>
      <c r="AC48">
        <f t="shared" si="32"/>
        <v>0.18373013222111853</v>
      </c>
      <c r="AD48">
        <f t="shared" si="32"/>
        <v>0.14864165408335045</v>
      </c>
      <c r="AE48">
        <f t="shared" si="32"/>
        <v>0.12004715305378347</v>
      </c>
      <c r="AF48">
        <f t="shared" si="32"/>
        <v>9.6820556029183269E-2</v>
      </c>
      <c r="AG48">
        <f t="shared" si="32"/>
        <v>7.8002620743326909E-2</v>
      </c>
      <c r="AH48">
        <f t="shared" si="32"/>
        <v>6.2787514438517655E-2</v>
      </c>
      <c r="AI48">
        <f t="shared" si="32"/>
        <v>0.25533890687910993</v>
      </c>
    </row>
    <row r="49" spans="1:21">
      <c r="A49" s="23" t="s">
        <v>89</v>
      </c>
      <c r="B49" s="35">
        <f>f1_*phi_q1</f>
        <v>0.41355445859654233</v>
      </c>
      <c r="F49" t="s">
        <v>87</v>
      </c>
      <c r="G49" s="31">
        <f>G41/G55</f>
        <v>0.99999530888810539</v>
      </c>
      <c r="H49" s="31">
        <f t="shared" ref="H49:I49" si="33">H41/H55</f>
        <v>2.0705754410156936</v>
      </c>
      <c r="I49" s="31">
        <f t="shared" si="33"/>
        <v>0.99999999999999989</v>
      </c>
    </row>
    <row r="50" spans="1:21">
      <c r="A50" s="23" t="s">
        <v>90</v>
      </c>
      <c r="B50" s="35">
        <f>f2_*phi_q2</f>
        <v>0.14990080220793464</v>
      </c>
    </row>
    <row r="51" spans="1:21">
      <c r="A51" s="23" t="s">
        <v>91</v>
      </c>
      <c r="B51" s="35">
        <f>f3_*phi_q3</f>
        <v>0.41356694206155192</v>
      </c>
      <c r="G51" t="s">
        <v>71</v>
      </c>
    </row>
    <row r="52" spans="1:21">
      <c r="A52" s="29" t="s">
        <v>92</v>
      </c>
      <c r="B52" s="34">
        <f>phi_t1</f>
        <v>7.2482496807273103E-2</v>
      </c>
      <c r="G52" s="1">
        <f>G39^0.5</f>
        <v>10.500502932283547</v>
      </c>
      <c r="H52" s="1">
        <f>H40^0.5</f>
        <v>5.1245415589234753</v>
      </c>
      <c r="I52" s="11">
        <f>I41^0.5</f>
        <v>10.500552190374416</v>
      </c>
    </row>
    <row r="53" spans="1:21">
      <c r="A53" s="29" t="s">
        <v>93</v>
      </c>
      <c r="B53" s="34">
        <f>phi_t2</f>
        <v>7.2482393772525411E-2</v>
      </c>
      <c r="G53">
        <f t="shared" ref="G53:I55" si="34">G$52*$J53</f>
        <v>110.26056183089537</v>
      </c>
      <c r="H53">
        <f t="shared" si="34"/>
        <v>53.81026366608485</v>
      </c>
      <c r="I53">
        <f t="shared" si="34"/>
        <v>110.26107906562298</v>
      </c>
      <c r="J53">
        <f t="array" ref="J53:J55">TRANSPOSE(G52:I52)</f>
        <v>10.500502932283547</v>
      </c>
      <c r="S53">
        <v>0.33</v>
      </c>
      <c r="T53">
        <f>S53/S$57</f>
        <v>0.28695652173913044</v>
      </c>
      <c r="U53">
        <f>S53/S57</f>
        <v>0.28695652173913044</v>
      </c>
    </row>
    <row r="54" spans="1:21">
      <c r="A54" s="29" t="s">
        <v>94</v>
      </c>
      <c r="B54" s="34">
        <f>phi_t3</f>
        <v>7.248468529118951E-2</v>
      </c>
      <c r="G54">
        <f t="shared" si="34"/>
        <v>53.81026366608485</v>
      </c>
      <c r="H54">
        <f t="shared" si="34"/>
        <v>26.260926189133844</v>
      </c>
      <c r="I54">
        <f t="shared" si="34"/>
        <v>53.810516091218624</v>
      </c>
      <c r="J54">
        <v>5.1245415589234753</v>
      </c>
      <c r="S54">
        <v>0.32</v>
      </c>
      <c r="T54">
        <f t="shared" ref="T54:T55" si="35">S54/S$57</f>
        <v>0.27826086956521739</v>
      </c>
      <c r="U54">
        <f>S54*(1-S$55)</f>
        <v>0.16</v>
      </c>
    </row>
    <row r="55" spans="1:21">
      <c r="G55">
        <f t="shared" si="34"/>
        <v>110.26107906562298</v>
      </c>
      <c r="H55">
        <f t="shared" si="34"/>
        <v>53.810516091218624</v>
      </c>
      <c r="I55">
        <f t="shared" si="34"/>
        <v>110.26159630277694</v>
      </c>
      <c r="J55">
        <v>10.500552190374416</v>
      </c>
      <c r="S55" s="33">
        <f>0.5</f>
        <v>0.5</v>
      </c>
      <c r="T55">
        <f t="shared" si="35"/>
        <v>0.43478260869565222</v>
      </c>
      <c r="U55">
        <f>S55</f>
        <v>0.5</v>
      </c>
    </row>
    <row r="57" spans="1:21">
      <c r="S57">
        <f>SUM(S53:S55)</f>
        <v>1.1499999999999999</v>
      </c>
      <c r="T57">
        <f>SUM(T53:T55)</f>
        <v>1</v>
      </c>
      <c r="U57">
        <f>SUM(U53:U55)</f>
        <v>0.94695652173913047</v>
      </c>
    </row>
  </sheetData>
  <phoneticPr fontId="5" type="noConversion"/>
  <pageMargins left="0.75" right="0.75" top="1" bottom="1" header="0.5" footer="0.5"/>
  <pageSetup orientation="portrait" horizontalDpi="4294967292" verticalDpi="4294967292"/>
  <legacy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rgb="FF00B050"/>
          <x14:colorNegative rgb="FFFF0000"/>
          <x14:colorAxis rgb="FF000000"/>
          <x14:colorMarkers rgb="FF0070C0"/>
          <x14:colorFirst rgb="FFFFC000"/>
          <x14:colorLast rgb="FFFFC000"/>
          <x14:colorHigh rgb="FF00B050"/>
          <x14:colorLow rgb="FFFF0000"/>
          <x14:sparklines>
            <x14:sparkline>
              <xm:f>'Proof of Concept'!K46:AI46</xm:f>
              <xm:sqref>J46</xm:sqref>
            </x14:sparkline>
            <x14:sparkline>
              <xm:f>'Proof of Concept'!K47:AI47</xm:f>
              <xm:sqref>J47</xm:sqref>
            </x14:sparkline>
            <x14:sparkline>
              <xm:f>'Proof of Concept'!K48:AI48</xm:f>
              <xm:sqref>J48</xm:sqref>
            </x14:sparkline>
          </x14:sparklines>
        </x14:sparklineGroup>
        <x14:sparklineGroup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'Proof of Concept'!K35:AI35</xm:f>
              <xm:sqref>J35</xm:sqref>
            </x14:sparkline>
          </x14:sparklines>
        </x14:sparklineGroup>
        <x14:sparklineGroup displayEmptyCellsAs="gap">
          <x14:colorSeries rgb="FFFF66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'Proof of Concept'!K18:AI18</xm:f>
              <xm:sqref>J18</xm:sqref>
            </x14:sparkline>
            <x14:sparkline>
              <xm:f>'Proof of Concept'!K19:AI19</xm:f>
              <xm:sqref>J19</xm:sqref>
            </x14:sparkline>
            <x14:sparkline>
              <xm:f>'Proof of Concept'!K20:AI20</xm:f>
              <xm:sqref>J20</xm:sqref>
            </x14:sparkline>
          </x14:sparklines>
        </x14:sparklineGroup>
      </x14:sparklineGroups>
    </ex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Proof of Concept</vt:lpstr>
    </vt:vector>
  </TitlesOfParts>
  <Company>UBC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Martell</dc:creator>
  <cp:lastModifiedBy>Steve Martell</cp:lastModifiedBy>
  <cp:lastPrinted>2015-07-22T03:14:25Z</cp:lastPrinted>
  <dcterms:created xsi:type="dcterms:W3CDTF">2015-07-22T00:09:03Z</dcterms:created>
  <dcterms:modified xsi:type="dcterms:W3CDTF">2015-07-28T16:44:32Z</dcterms:modified>
</cp:coreProperties>
</file>