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2080" windowHeight="26440" tabRatio="623" activeTab="8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">SAA!$B$8:$C$8</definedName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SAA!$A$12:$A$41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Selectivities!$A$13:$A$18</definedName>
    <definedName name="ah" localSheetId="1">'Status Quo'!$G$18:$G$20</definedName>
    <definedName name="ah">'Proof of Concept'!$G$18:$G$20</definedName>
    <definedName name="ahat">SAA!$H$1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">SAA!$B$7:$C$7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Selectivities!$C$13:$C$18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hh">'Status Quo'!$F$1</definedName>
    <definedName name="k">SAA!$B$3:$C$3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9">Selectivities!$E$2:$AH$2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0">SAA!$B$2:$C$2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Concept'!$B$30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SAA!$M$1:$O$1,SAA!$M$2:$O$2,SAA!$M$3:$O$3</definedName>
    <definedName name="solver_adj" localSheetId="9" hidden="1">Selectivities!$A$13:$A$18,Selectivities!$B$13:$B$18,Selectivities!$C$13:$C$18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Selectivities!$C$13:$C$18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Selectivities!$B$13:$B$17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2</definedName>
    <definedName name="solver_msl" localSheetId="7" hidden="1">2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SAA!$M$4</definedName>
    <definedName name="solver_opt" localSheetId="9" hidden="1">Selectivities!$B$1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2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SS">SAA!$B$10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SAA!$B$4:$C$4</definedName>
    <definedName name="type">'Proof of Concept'!$C$25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iterate="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" i="1" l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L19" i="1"/>
  <c r="AI18" i="1"/>
  <c r="AI19" i="1"/>
  <c r="AI20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K19" i="1"/>
  <c r="K20" i="1"/>
  <c r="G18" i="3"/>
  <c r="B2" i="5"/>
  <c r="D26" i="5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D13" i="5"/>
  <c r="M13" i="5"/>
  <c r="N13" i="5"/>
  <c r="O13" i="5"/>
  <c r="D14" i="5"/>
  <c r="M14" i="5"/>
  <c r="N14" i="5"/>
  <c r="O14" i="5"/>
  <c r="D15" i="5"/>
  <c r="M15" i="5"/>
  <c r="N15" i="5"/>
  <c r="O15" i="5"/>
  <c r="D16" i="5"/>
  <c r="M16" i="5"/>
  <c r="N16" i="5"/>
  <c r="O16" i="5"/>
  <c r="D17" i="5"/>
  <c r="M17" i="5"/>
  <c r="N17" i="5"/>
  <c r="O17" i="5"/>
  <c r="D18" i="5"/>
  <c r="M18" i="5"/>
  <c r="N18" i="5"/>
  <c r="O18" i="5"/>
  <c r="D19" i="5"/>
  <c r="M19" i="5"/>
  <c r="N19" i="5"/>
  <c r="O19" i="5"/>
  <c r="D20" i="5"/>
  <c r="M20" i="5"/>
  <c r="N20" i="5"/>
  <c r="O20" i="5"/>
  <c r="D21" i="5"/>
  <c r="M21" i="5"/>
  <c r="N21" i="5"/>
  <c r="O21" i="5"/>
  <c r="D22" i="5"/>
  <c r="M22" i="5"/>
  <c r="N22" i="5"/>
  <c r="O22" i="5"/>
  <c r="D23" i="5"/>
  <c r="M23" i="5"/>
  <c r="N23" i="5"/>
  <c r="O23" i="5"/>
  <c r="D24" i="5"/>
  <c r="M24" i="5"/>
  <c r="N24" i="5"/>
  <c r="O24" i="5"/>
  <c r="D25" i="5"/>
  <c r="M25" i="5"/>
  <c r="N25" i="5"/>
  <c r="O25" i="5"/>
  <c r="M26" i="5"/>
  <c r="D27" i="5"/>
  <c r="M27" i="5"/>
  <c r="D28" i="5"/>
  <c r="M28" i="5"/>
  <c r="D29" i="5"/>
  <c r="M29" i="5"/>
  <c r="D30" i="5"/>
  <c r="M30" i="5"/>
  <c r="D31" i="5"/>
  <c r="M31" i="5"/>
  <c r="D32" i="5"/>
  <c r="M32" i="5"/>
  <c r="D33" i="5"/>
  <c r="M33" i="5"/>
  <c r="D34" i="5"/>
  <c r="M34" i="5"/>
  <c r="D35" i="5"/>
  <c r="M35" i="5"/>
  <c r="D36" i="5"/>
  <c r="M36" i="5"/>
  <c r="D37" i="5"/>
  <c r="M37" i="5"/>
  <c r="D38" i="5"/>
  <c r="M38" i="5"/>
  <c r="D39" i="5"/>
  <c r="M39" i="5"/>
  <c r="D40" i="5"/>
  <c r="M40" i="5"/>
  <c r="D41" i="5"/>
  <c r="M41" i="5"/>
  <c r="D12" i="5"/>
  <c r="N12" i="5"/>
  <c r="O12" i="5"/>
  <c r="M12" i="5"/>
  <c r="S12" i="5"/>
  <c r="J12" i="5"/>
  <c r="S13" i="5"/>
  <c r="J13" i="5"/>
  <c r="S14" i="5"/>
  <c r="J14" i="5"/>
  <c r="S15" i="5"/>
  <c r="J15" i="5"/>
  <c r="S16" i="5"/>
  <c r="J16" i="5"/>
  <c r="S17" i="5"/>
  <c r="J17" i="5"/>
  <c r="S18" i="5"/>
  <c r="J18" i="5"/>
  <c r="S19" i="5"/>
  <c r="J19" i="5"/>
  <c r="S20" i="5"/>
  <c r="J20" i="5"/>
  <c r="S21" i="5"/>
  <c r="J21" i="5"/>
  <c r="S22" i="5"/>
  <c r="J22" i="5"/>
  <c r="S23" i="5"/>
  <c r="J23" i="5"/>
  <c r="S24" i="5"/>
  <c r="J24" i="5"/>
  <c r="S25" i="5"/>
  <c r="J25" i="5"/>
  <c r="S26" i="5"/>
  <c r="J26" i="5"/>
  <c r="S27" i="5"/>
  <c r="J27" i="5"/>
  <c r="S28" i="5"/>
  <c r="J28" i="5"/>
  <c r="S29" i="5"/>
  <c r="J29" i="5"/>
  <c r="S30" i="5"/>
  <c r="J30" i="5"/>
  <c r="S31" i="5"/>
  <c r="J31" i="5"/>
  <c r="S32" i="5"/>
  <c r="J32" i="5"/>
  <c r="S33" i="5"/>
  <c r="J33" i="5"/>
  <c r="S34" i="5"/>
  <c r="J34" i="5"/>
  <c r="S35" i="5"/>
  <c r="J35" i="5"/>
  <c r="S36" i="5"/>
  <c r="J36" i="5"/>
  <c r="S37" i="5"/>
  <c r="J37" i="5"/>
  <c r="S38" i="5"/>
  <c r="J38" i="5"/>
  <c r="S39" i="5"/>
  <c r="J39" i="5"/>
  <c r="S40" i="5"/>
  <c r="J40" i="5"/>
  <c r="S41" i="5"/>
  <c r="J41" i="5"/>
  <c r="M4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B23" i="1"/>
  <c r="AI4" i="1"/>
  <c r="AI5" i="1"/>
  <c r="AH4" i="1"/>
  <c r="AH5" i="1"/>
  <c r="AG4" i="1"/>
  <c r="AG5" i="1"/>
  <c r="AF4" i="1"/>
  <c r="AF5" i="1"/>
  <c r="AE4" i="1"/>
  <c r="AE5" i="1"/>
  <c r="AD4" i="1"/>
  <c r="AD5" i="1"/>
  <c r="AC4" i="1"/>
  <c r="AC5" i="1"/>
  <c r="AB4" i="1"/>
  <c r="AB5" i="1"/>
  <c r="AA4" i="1"/>
  <c r="AA5" i="1"/>
  <c r="Z4" i="1"/>
  <c r="Z5" i="1"/>
  <c r="Y4" i="1"/>
  <c r="Y5" i="1"/>
  <c r="X4" i="1"/>
  <c r="X5" i="1"/>
  <c r="W4" i="1"/>
  <c r="W5" i="1"/>
  <c r="V4" i="1"/>
  <c r="V5" i="1"/>
  <c r="U4" i="1"/>
  <c r="U5" i="1"/>
  <c r="T4" i="1"/>
  <c r="T5" i="1"/>
  <c r="S4" i="1"/>
  <c r="S5" i="1"/>
  <c r="R4" i="1"/>
  <c r="R5" i="1"/>
  <c r="Q4" i="1"/>
  <c r="Q5" i="1"/>
  <c r="P4" i="1"/>
  <c r="P5" i="1"/>
  <c r="O4" i="1"/>
  <c r="O5" i="1"/>
  <c r="N4" i="1"/>
  <c r="N5" i="1"/>
  <c r="M4" i="1"/>
  <c r="M5" i="1"/>
  <c r="L4" i="1"/>
  <c r="L5" i="1"/>
  <c r="K4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K6" i="1"/>
  <c r="K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B33" i="1"/>
  <c r="B21" i="1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1"/>
  <c r="C5" i="1"/>
  <c r="C6" i="1"/>
  <c r="C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C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2" i="1"/>
  <c r="C13" i="1"/>
  <c r="C14" i="1"/>
  <c r="C1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B27" i="1"/>
  <c r="C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B28" i="1"/>
  <c r="C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B29" i="1"/>
  <c r="C29" i="1"/>
  <c r="G31" i="1"/>
  <c r="H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2" i="1"/>
  <c r="H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3" i="1"/>
  <c r="H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B34" i="1"/>
  <c r="B35" i="1"/>
  <c r="C35" i="1"/>
  <c r="E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B36" i="1"/>
  <c r="C36" i="1"/>
  <c r="E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B37" i="1"/>
  <c r="C37" i="1"/>
  <c r="E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B38" i="1"/>
  <c r="C38" i="1"/>
  <c r="E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B39" i="1"/>
  <c r="C39" i="1"/>
  <c r="E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B40" i="1"/>
  <c r="C40" i="1"/>
  <c r="E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B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B44" i="1"/>
  <c r="B45" i="1"/>
  <c r="C45" i="1"/>
  <c r="B46" i="1"/>
  <c r="C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B47" i="1"/>
  <c r="C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B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G49" i="1"/>
  <c r="H49" i="1"/>
  <c r="I49" i="1"/>
  <c r="B50" i="1"/>
  <c r="C50" i="1"/>
  <c r="B51" i="1"/>
  <c r="C51" i="1"/>
  <c r="B52" i="1"/>
  <c r="C52" i="1"/>
  <c r="G52" i="1"/>
  <c r="H52" i="1"/>
  <c r="I52" i="1"/>
  <c r="B53" i="1"/>
  <c r="C53" i="1"/>
  <c r="G53" i="1"/>
  <c r="H53" i="1"/>
  <c r="I53" i="1"/>
  <c r="J53" i="1" a="1"/>
  <c r="J53" i="1"/>
  <c r="B54" i="1"/>
  <c r="C54" i="1"/>
  <c r="G54" i="1"/>
  <c r="H54" i="1"/>
  <c r="I54" i="1"/>
  <c r="J54" i="1"/>
  <c r="B55" i="1"/>
  <c r="C55" i="1"/>
  <c r="G55" i="1"/>
  <c r="H55" i="1"/>
  <c r="I55" i="1"/>
  <c r="J55" i="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R51" i="3"/>
  <c r="G52" i="3"/>
  <c r="H52" i="3"/>
  <c r="I52" i="3"/>
  <c r="R52" i="3"/>
  <c r="B53" i="3"/>
  <c r="C53" i="3"/>
  <c r="G53" i="3"/>
  <c r="H53" i="3"/>
  <c r="I53" i="3"/>
  <c r="J53" i="3" a="1"/>
  <c r="J53" i="3"/>
  <c r="R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<sst xmlns="http://schemas.openxmlformats.org/spreadsheetml/2006/main" count="1043" uniqueCount="170">
  <si>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</si>
  <si>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</si>
  <si>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</si>
  <si>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</si>
  <si>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</si>
  <si>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</si>
  <si>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</si>
  <si>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</si>
  <si>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</si>
  <si>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</si>
  <si>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</si>
  <si>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</si>
  <si>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</si>
  <si>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</si>
  <si>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</si>
  <si>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</si>
  <si>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</si>
  <si>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</si>
  <si>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</si>
  <si>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</si>
  <si>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</si>
  <si>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</si>
  <si>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</si>
  <si>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</si>
  <si>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</si>
  <si>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</si>
  <si>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</si>
  <si>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</si>
  <si>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</si>
  <si>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</si>
  <si>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</si>
  <si>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</si>
  <si>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</si>
  <si>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</si>
  <si>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</si>
  <si>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</si>
  <si>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</si>
  <si>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</si>
  <si>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</si>
  <si>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</si>
  <si>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</si>
  <si>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</si>
  <si>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</si>
  <si>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</si>
  <si>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</si>
  <si>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</si>
  <si>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</si>
  <si>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</si>
  <si>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</si>
  <si>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</si>
  <si>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</si>
  <si>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</si>
  <si>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</si>
  <si>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</si>
  <si>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</si>
  <si>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</si>
  <si>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</si>
  <si>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</si>
  <si>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</si>
  <si>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</si>
  <si>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</si>
  <si>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</si>
  <si>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</si>
  <si>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</si>
  <si>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</si>
  <si>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</si>
  <si>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</si>
  <si>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</si>
  <si>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</si>
  <si>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</si>
  <si>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</si>
  <si>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</si>
  <si>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</si>
  <si>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</si>
  <si>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</si>
  <si>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</si>
  <si>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</si>
  <si>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</si>
  <si>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</si>
  <si>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</si>
  <si>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</si>
  <si>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</si>
  <si>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</si>
  <si>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</si>
  <si>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</si>
  <si>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</si>
  <si>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</si>
  <si>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</si>
  <si>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</si>
  <si>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</si>
  <si>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</si>
  <si>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</si>
  <si>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</si>
  <si>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</si>
  <si>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</si>
  <si>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</si>
  <si>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</si>
  <si>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</si>
  <si>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</si>
  <si>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</si>
  <si>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</si>
  <si>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</si>
  <si>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</si>
  <si>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</si>
  <si>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</si>
  <si>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</si>
  <si>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</si>
  <si>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</si>
  <si>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</si>
  <si>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</si>
  <si>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</si>
  <si>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</si>
  <si>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</si>
  <si>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</si>
  <si>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</si>
  <si>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</si>
  <si>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</si>
  <si>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</si>
  <si>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</si>
  <si>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</si>
  <si>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</si>
  <si>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</si>
  <si>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</si>
  <si>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</si>
  <si>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</si>
  <si>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</si>
  <si>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</si>
  <si>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</si>
  <si>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</si>
  <si>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</si>
  <si>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</si>
  <si>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</si>
  <si>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</si>
  <si>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</si>
  <si>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</si>
  <si>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</si>
  <si>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</si>
  <si>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</si>
  <si>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</si>
  <si>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</si>
  <si>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</si>
  <si>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</si>
  <si>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</si>
  <si>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</si>
  <si>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</si>
  <si>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</si>
  <si>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</si>
  <si>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</si>
  <si>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</si>
  <si>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</si>
  <si>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</si>
  <si>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</si>
  <si>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</si>
  <si>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</si>
  <si>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</si>
  <si>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</si>
  <si>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</si>
  <si>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</si>
  <si>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</si>
  <si>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</si>
  <si>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</si>
  <si>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</si>
  <si>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</si>
  <si>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</si>
  <si>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</si>
  <si>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</si>
  <si>
    <t>fe</t>
  </si>
  <si>
    <t>hh</t>
  </si>
  <si>
    <t>ye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</si>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</sst>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71" formatCode="0.00000"/>
    <numFmt numFmtId="172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8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3" fillId="0" borderId="0" xfId="0" applyFont="1"/>
    <xf numFmtId="171" fontId="0" fillId="0" borderId="0" xfId="0" applyNumberFormat="1"/>
    <xf numFmtId="165" fontId="23" fillId="0" borderId="0" xfId="0" applyNumberFormat="1" applyFont="1"/>
    <xf numFmtId="172" fontId="0" fillId="0" borderId="0" xfId="0" applyNumberFormat="1"/>
    <xf numFmtId="0" fontId="0" fillId="0" borderId="0" xfId="0" applyAlignment="1">
      <alignment horizontal="center"/>
    </xf>
    <xf numFmtId="0" fontId="22" fillId="10" borderId="7" xfId="475" applyAlignment="1">
      <alignment horizontal="center"/>
    </xf>
    <xf numFmtId="43" fontId="5" fillId="0" borderId="0" xfId="1" applyFont="1"/>
  </cellXfs>
  <cellStyles count="564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8.273792814806826</c:v>
                </c:pt>
                <c:pt idx="2">
                  <c:v>9.132501783742509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6.291280140341038</c:v>
                </c:pt>
                <c:pt idx="2">
                  <c:v>6.944230824932708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31864"/>
        <c:axId val="-2079234856"/>
      </c:barChart>
      <c:catAx>
        <c:axId val="-2079231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9234856"/>
        <c:crosses val="autoZero"/>
        <c:auto val="1"/>
        <c:lblAlgn val="ctr"/>
        <c:lblOffset val="100"/>
        <c:noMultiLvlLbl val="0"/>
      </c:catAx>
      <c:valAx>
        <c:axId val="-207923485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-20792318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8.273792814806826</c:v>
                </c:pt>
                <c:pt idx="2">
                  <c:v>9.132501783742509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6.291280140341038</c:v>
                </c:pt>
                <c:pt idx="2">
                  <c:v>6.944230824932708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74168"/>
        <c:axId val="-2079277160"/>
      </c:barChart>
      <c:catAx>
        <c:axId val="-2079274168"/>
        <c:scaling>
          <c:orientation val="minMax"/>
        </c:scaling>
        <c:delete val="0"/>
        <c:axPos val="l"/>
        <c:majorTickMark val="out"/>
        <c:minorTickMark val="none"/>
        <c:tickLblPos val="nextTo"/>
        <c:crossAx val="-2079277160"/>
        <c:crosses val="autoZero"/>
        <c:auto val="1"/>
        <c:lblAlgn val="ctr"/>
        <c:lblOffset val="100"/>
        <c:noMultiLvlLbl val="0"/>
      </c:catAx>
      <c:valAx>
        <c:axId val="-2079277160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-2079274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9.63823141553139E-6</c:v>
                </c:pt>
                <c:pt idx="1">
                  <c:v>8.273792814806826</c:v>
                </c:pt>
                <c:pt idx="2">
                  <c:v>9.132501783742509</c:v>
                </c:pt>
                <c:pt idx="3">
                  <c:v>9.38294566774333</c:v>
                </c:pt>
                <c:pt idx="6">
                  <c:v>5.596849014437344</c:v>
                </c:pt>
                <c:pt idx="7">
                  <c:v>8.566018657430453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9.63823141553139E-6</c:v>
                </c:pt>
                <c:pt idx="1">
                  <c:v>6.291280140341038</c:v>
                </c:pt>
                <c:pt idx="2">
                  <c:v>6.944230824932708</c:v>
                </c:pt>
                <c:pt idx="3">
                  <c:v>7.134664966680196</c:v>
                </c:pt>
                <c:pt idx="6">
                  <c:v>61.73549565231922</c:v>
                </c:pt>
                <c:pt idx="7">
                  <c:v>5.589074093587237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079308904"/>
        <c:axId val="-2079311896"/>
      </c:barChart>
      <c:catAx>
        <c:axId val="-2079308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9311896"/>
        <c:crosses val="autoZero"/>
        <c:auto val="1"/>
        <c:lblAlgn val="ctr"/>
        <c:lblOffset val="100"/>
        <c:noMultiLvlLbl val="0"/>
      </c:catAx>
      <c:valAx>
        <c:axId val="-207931189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-20793089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7929320"/>
        <c:axId val="-2077926200"/>
      </c:lineChart>
      <c:catAx>
        <c:axId val="-207792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926200"/>
        <c:crosses val="autoZero"/>
        <c:auto val="1"/>
        <c:lblAlgn val="ctr"/>
        <c:lblOffset val="100"/>
        <c:noMultiLvlLbl val="0"/>
      </c:catAx>
      <c:valAx>
        <c:axId val="-20779262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77929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414744"/>
        <c:axId val="-2057844824"/>
      </c:scatterChart>
      <c:valAx>
        <c:axId val="-206141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7844824"/>
        <c:crosses val="autoZero"/>
        <c:crossBetween val="midCat"/>
      </c:valAx>
      <c:valAx>
        <c:axId val="-205784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1414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817944"/>
        <c:axId val="-2117576344"/>
      </c:scatterChart>
      <c:valAx>
        <c:axId val="-211781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576344"/>
        <c:crosses val="autoZero"/>
        <c:crossBetween val="midCat"/>
      </c:valAx>
      <c:valAx>
        <c:axId val="-21175763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17817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9237800"/>
        <c:axId val="-2039239944"/>
      </c:scatterChart>
      <c:valAx>
        <c:axId val="-2039237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9239944"/>
        <c:crosses val="autoZero"/>
        <c:crossBetween val="midCat"/>
      </c:valAx>
      <c:valAx>
        <c:axId val="-20392399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39237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5" customWidth="1"/>
    <col min="6" max="6" width="13.1640625" customWidth="1"/>
    <col min="7" max="8" width="4" customWidth="1"/>
    <col min="9" max="12" width="13.1640625" customWidth="1"/>
  </cols>
  <sheetData>
    <row r="3" spans="2:13">
      <c r="D3" s="119" t="s">
        <v>135</v>
      </c>
      <c r="E3" s="119"/>
      <c r="F3" s="119"/>
      <c r="I3" s="120" t="s">
        <v>136</v>
      </c>
      <c r="J3" s="120"/>
      <c r="K3" s="120"/>
    </row>
    <row r="4" spans="2:13">
      <c r="B4" s="61" t="s">
        <v>131</v>
      </c>
      <c r="C4" s="50" t="s">
        <v>114</v>
      </c>
      <c r="D4" s="81" t="s">
        <v>134</v>
      </c>
      <c r="E4" s="86" t="s">
        <v>137</v>
      </c>
      <c r="F4" s="86" t="s">
        <v>133</v>
      </c>
      <c r="I4" s="90" t="s">
        <v>134</v>
      </c>
      <c r="J4" s="91" t="s">
        <v>137</v>
      </c>
      <c r="K4" s="91" t="s">
        <v>133</v>
      </c>
    </row>
    <row r="5" spans="2:13">
      <c r="B5" s="8" t="s">
        <v>105</v>
      </c>
      <c r="C5" s="113">
        <f ca="1">'Status Quo'!ye_1/1000</f>
        <v>2.5844008932292343E-5</v>
      </c>
      <c r="D5" s="115">
        <f ca="1">'Excluders (1)'!ye_1/1000</f>
        <v>22.18513399199464</v>
      </c>
      <c r="E5" s="115">
        <f ca="1">'No Size Limit (1)'!ye_1/1000</f>
        <v>24.487654004566448</v>
      </c>
      <c r="F5" s="115">
        <f ca="1">'Reduce DMR (1)'!ye_1/1000</f>
        <v>25.159187755579733</v>
      </c>
      <c r="I5" s="117">
        <f ca="1">'Excluders (2)'!ye_1/1000</f>
        <v>28.995344547135712</v>
      </c>
      <c r="J5" s="117">
        <f ca="1">'No Size Limit (2)'!ye_1/1000</f>
        <v>27.503775548065686</v>
      </c>
      <c r="K5" s="117">
        <f ca="1">'Reduce DMR (2)'!ye_1/1000</f>
        <v>27.326822963582114</v>
      </c>
    </row>
    <row r="6" spans="2:13">
      <c r="B6" s="8" t="s">
        <v>106</v>
      </c>
      <c r="C6" s="113">
        <f ca="1">'Status Quo'!ye_2/1000</f>
        <v>9.6382314155313942E-6</v>
      </c>
      <c r="D6" s="115">
        <f ca="1">'Excluders (1)'!ye_2/1000</f>
        <v>8.2737928148068267</v>
      </c>
      <c r="E6" s="115">
        <f ca="1">'No Size Limit (1)'!ye_2/1000</f>
        <v>9.1325017837425086</v>
      </c>
      <c r="F6" s="115">
        <f ca="1">'Reduce DMR (1)'!ye_2/1000</f>
        <v>9.3829456677433303</v>
      </c>
      <c r="I6" s="117">
        <f ca="1">'Excluders (2)'!ye_2/1000</f>
        <v>5.5968490144373444</v>
      </c>
      <c r="J6" s="117">
        <f ca="1">'No Size Limit (2)'!ye_2/1000</f>
        <v>8.5660186574304529</v>
      </c>
      <c r="K6" s="117">
        <f ca="1">'Reduce DMR (2)'!ye_2/1000</f>
        <v>9.2564685328165428</v>
      </c>
    </row>
    <row r="7" spans="2:13">
      <c r="B7" s="48" t="s">
        <v>107</v>
      </c>
      <c r="C7" s="114">
        <f ca="1">'Status Quo'!ye_2/1000</f>
        <v>9.6382314155313942E-6</v>
      </c>
      <c r="D7" s="116">
        <f ca="1">'Excluders (1)'!ye_3/1000</f>
        <v>6.2912801403410388</v>
      </c>
      <c r="E7" s="116">
        <f ca="1">'No Size Limit (1)'!ye_3/1000</f>
        <v>6.944230824932708</v>
      </c>
      <c r="F7" s="116">
        <f ca="1">'Reduce DMR (1)'!ye_3/1000</f>
        <v>7.1346649666801962</v>
      </c>
      <c r="I7" s="118">
        <f ca="1">'Excluders (2)'!ye_3/100</f>
        <v>61.735495652319223</v>
      </c>
      <c r="J7" s="118">
        <f ca="1">'No Size Limit (2)'!ye_3/1000</f>
        <v>5.5890740935872376</v>
      </c>
      <c r="K7" s="118">
        <f ca="1">'Reduce DMR (2)'!ye_3/1000</f>
        <v>5.7724178251687936</v>
      </c>
    </row>
    <row r="8" spans="2:13">
      <c r="B8" s="47" t="s">
        <v>72</v>
      </c>
      <c r="C8" s="62">
        <f ca="1">SUM(C5:C7)</f>
        <v>4.5120471763355135E-5</v>
      </c>
      <c r="D8" s="74">
        <f ca="1">SUM(D5:D7)</f>
        <v>36.750206947142502</v>
      </c>
      <c r="E8" s="74">
        <f ca="1">SUM(E5:E7)</f>
        <v>40.564386613241666</v>
      </c>
      <c r="F8" s="74">
        <f ca="1">SUM(F5:F7)</f>
        <v>41.676798390003263</v>
      </c>
      <c r="I8" s="92">
        <f ca="1">SUM(I5:I7)</f>
        <v>96.327689213892285</v>
      </c>
      <c r="J8" s="92">
        <f ca="1">SUM(J5:J7)</f>
        <v>41.658868299083373</v>
      </c>
      <c r="K8" s="92">
        <f ca="1">SUM(K5:K7)</f>
        <v>42.355709321567453</v>
      </c>
      <c r="M8" t="s">
        <v>138</v>
      </c>
    </row>
    <row r="9" spans="2:13">
      <c r="D9" s="73"/>
      <c r="F9" s="85"/>
      <c r="I9" s="93"/>
      <c r="J9" s="16"/>
      <c r="K9" s="16"/>
    </row>
    <row r="10" spans="2:13">
      <c r="B10" s="61" t="s">
        <v>125</v>
      </c>
      <c r="C10" s="87" t="s">
        <v>114</v>
      </c>
      <c r="D10" s="81" t="str">
        <f>D4</f>
        <v>Excluders</v>
      </c>
      <c r="E10" s="81" t="str">
        <f>E4</f>
        <v>Full Retention</v>
      </c>
      <c r="F10" s="86" t="str">
        <f>F4</f>
        <v>Reduce DMR</v>
      </c>
      <c r="I10" s="90" t="str">
        <f>I4</f>
        <v>Excluders</v>
      </c>
      <c r="J10" s="90" t="str">
        <f>J4</f>
        <v>Full Retention</v>
      </c>
      <c r="K10" s="91" t="str">
        <f>K4</f>
        <v>Reduce DMR</v>
      </c>
    </row>
    <row r="11" spans="2:13">
      <c r="B11" s="8" t="s">
        <v>105</v>
      </c>
      <c r="C11" s="65">
        <f ca="1">'Status Quo'!E27/10</f>
        <v>12.747432046033499</v>
      </c>
      <c r="D11" s="75">
        <f ca="1">'Excluders (1)'!E27/10</f>
        <v>13.771284947495314</v>
      </c>
      <c r="E11" s="75">
        <f ca="1">'No Size Limit (1)'!$E27/10</f>
        <v>21.428701780708394</v>
      </c>
      <c r="F11" s="75">
        <f ca="1">'Reduce DMR (1)'!$E27/10</f>
        <v>20.349057090281928</v>
      </c>
      <c r="I11" s="94">
        <f ca="1">'Excluders (2)'!E27/10</f>
        <v>24.533035775160052</v>
      </c>
      <c r="J11" s="94">
        <f ca="1">'No Size Limit (2)'!$E27/10</f>
        <v>23.491426520820152</v>
      </c>
      <c r="K11" s="94">
        <f ca="1">'Reduce DMR (2)'!$E27/10</f>
        <v>21.021402323232675</v>
      </c>
    </row>
    <row r="12" spans="2:13">
      <c r="B12" s="8" t="s">
        <v>106</v>
      </c>
      <c r="C12" s="65">
        <f ca="1">'Status Quo'!E28</f>
        <v>39.461917558212178</v>
      </c>
      <c r="D12" s="75">
        <f ca="1">'Excluders (1)'!E28</f>
        <v>201.23438232103834</v>
      </c>
      <c r="E12" s="75">
        <f ca="1">'No Size Limit (1)'!$E28</f>
        <v>35.98151431430869</v>
      </c>
      <c r="F12" s="75">
        <f ca="1">'Reduce DMR (1)'!$E28</f>
        <v>148.89488932595819</v>
      </c>
      <c r="I12" s="94">
        <f ca="1">'Excluders (2)'!E28</f>
        <v>125.22357203548577</v>
      </c>
      <c r="J12" s="94">
        <f ca="1">'No Size Limit (2)'!$E28</f>
        <v>32.127518390807992</v>
      </c>
      <c r="K12" s="94">
        <f ca="1">'Reduce DMR (2)'!$E28</f>
        <v>140.74879439665489</v>
      </c>
    </row>
    <row r="13" spans="2:13">
      <c r="B13" s="48" t="s">
        <v>107</v>
      </c>
      <c r="C13" s="66">
        <f ca="1">'Status Quo'!E29</f>
        <v>30.775675626432978</v>
      </c>
      <c r="D13" s="76">
        <f ca="1">'Excluders (1)'!E29</f>
        <v>16.029056510573863</v>
      </c>
      <c r="E13" s="76">
        <f ca="1">'No Size Limit (1)'!$E29</f>
        <v>18.007402016540144</v>
      </c>
      <c r="F13" s="75">
        <f ca="1">'Reduce DMR (1)'!$E29</f>
        <v>17.606250828024006</v>
      </c>
      <c r="I13" s="94">
        <f ca="1">'Excluders (2)'!E29</f>
        <v>15.674376646944795</v>
      </c>
      <c r="J13" s="95">
        <f ca="1">'No Size Limit (2)'!$E29</f>
        <v>13.655943054894973</v>
      </c>
      <c r="K13" s="94">
        <f ca="1">'Reduce DMR (2)'!$E29</f>
        <v>13.509114461402788</v>
      </c>
    </row>
    <row r="14" spans="2:13">
      <c r="B14" s="47" t="s">
        <v>72</v>
      </c>
      <c r="C14" s="69">
        <f ca="1">SUM(C11:C13)</f>
        <v>82.985025230678644</v>
      </c>
      <c r="D14" s="77">
        <f ca="1">SUM(D11:D13)</f>
        <v>231.03472377910751</v>
      </c>
      <c r="E14" s="77">
        <f ca="1">SUM(E11:E13)</f>
        <v>75.417618111557232</v>
      </c>
      <c r="F14" s="105">
        <f ca="1">SUM(F11:F13)</f>
        <v>186.85019724426411</v>
      </c>
      <c r="I14" s="102">
        <f ca="1">SUM(I11:I13)</f>
        <v>165.43098445759063</v>
      </c>
      <c r="J14" s="96">
        <f ca="1">SUM(J11:J13)</f>
        <v>69.274887966523124</v>
      </c>
      <c r="K14" s="102">
        <f ca="1">SUM(K11:K13)</f>
        <v>175.27931118129035</v>
      </c>
    </row>
    <row r="15" spans="2:13">
      <c r="B15" s="47"/>
      <c r="C15" s="69"/>
      <c r="D15" s="77"/>
      <c r="E15" s="77"/>
      <c r="F15" s="109"/>
      <c r="I15" s="110"/>
      <c r="J15" s="96"/>
      <c r="K15" s="110"/>
    </row>
    <row r="16" spans="2:13">
      <c r="B16" s="61" t="s">
        <v>141</v>
      </c>
      <c r="C16" s="87" t="s">
        <v>114</v>
      </c>
      <c r="D16" s="81" t="str">
        <f>D10</f>
        <v>Excluders</v>
      </c>
      <c r="E16" s="81" t="str">
        <f>E10</f>
        <v>Full Retention</v>
      </c>
      <c r="F16" s="86" t="str">
        <f>F10</f>
        <v>Reduce DMR</v>
      </c>
      <c r="I16" s="90" t="str">
        <f>I10</f>
        <v>Excluders</v>
      </c>
      <c r="J16" s="90" t="str">
        <f>J10</f>
        <v>Full Retention</v>
      </c>
      <c r="K16" s="91" t="str">
        <f>K10</f>
        <v>Reduce DMR</v>
      </c>
    </row>
    <row r="17" spans="2:11">
      <c r="B17" s="8" t="s">
        <v>105</v>
      </c>
      <c r="C17" s="65">
        <f ca="1">C5/C11</f>
        <v>2.0273894254909157E-6</v>
      </c>
      <c r="D17" s="75">
        <f t="shared" ref="D17:F17" ca="1" si="0">D5/D11</f>
        <v>1.6109705141225485</v>
      </c>
      <c r="E17" s="75">
        <f t="shared" ca="1" si="0"/>
        <v>1.1427502354161247</v>
      </c>
      <c r="F17" s="75">
        <f t="shared" ca="1" si="0"/>
        <v>1.2363810098893955</v>
      </c>
      <c r="I17" s="94">
        <f t="shared" ref="I17:K17" ca="1" si="1">I5/I11</f>
        <v>1.1818897919063809</v>
      </c>
      <c r="J17" s="94">
        <f t="shared" ca="1" si="1"/>
        <v>1.1708005694626267</v>
      </c>
      <c r="K17" s="94">
        <f t="shared" ca="1" si="1"/>
        <v>1.2999524267408527</v>
      </c>
    </row>
    <row r="18" spans="2:11">
      <c r="B18" s="8" t="s">
        <v>106</v>
      </c>
      <c r="C18" s="65">
        <f t="shared" ref="C18:F19" ca="1" si="2">C6/C12</f>
        <v>2.4424133473274771E-7</v>
      </c>
      <c r="D18" s="75">
        <f t="shared" ca="1" si="2"/>
        <v>4.1115204665211083E-2</v>
      </c>
      <c r="E18" s="75">
        <f t="shared" ca="1" si="2"/>
        <v>0.2538109348030082</v>
      </c>
      <c r="F18" s="75">
        <f t="shared" ca="1" si="2"/>
        <v>6.3017244649696089E-2</v>
      </c>
      <c r="I18" s="94">
        <f t="shared" ref="I18:K18" ca="1" si="3">I6/I12</f>
        <v>4.4694851963265454E-2</v>
      </c>
      <c r="J18" s="94">
        <f t="shared" ca="1" si="3"/>
        <v>0.26662559346262105</v>
      </c>
      <c r="K18" s="94">
        <f t="shared" ca="1" si="3"/>
        <v>6.5765881494730144E-2</v>
      </c>
    </row>
    <row r="19" spans="2:11">
      <c r="B19" s="48" t="s">
        <v>107</v>
      </c>
      <c r="C19" s="65">
        <f t="shared" ca="1" si="2"/>
        <v>3.1317692363683464E-7</v>
      </c>
      <c r="D19" s="75">
        <f t="shared" ca="1" si="2"/>
        <v>0.39249223035622088</v>
      </c>
      <c r="E19" s="75">
        <f t="shared" ca="1" si="2"/>
        <v>0.38563202057433377</v>
      </c>
      <c r="F19" s="75">
        <f t="shared" ca="1" si="2"/>
        <v>0.40523476783165524</v>
      </c>
      <c r="I19" s="94">
        <f t="shared" ref="I19:K19" ca="1" si="4">I7/I13</f>
        <v>3.9386252508071848</v>
      </c>
      <c r="J19" s="94">
        <f t="shared" ca="1" si="4"/>
        <v>0.40927778265623582</v>
      </c>
      <c r="K19" s="94">
        <f t="shared" ca="1" si="4"/>
        <v>0.42729801732462225</v>
      </c>
    </row>
    <row r="20" spans="2:11">
      <c r="B20" s="47" t="s">
        <v>128</v>
      </c>
      <c r="C20" s="111">
        <f ca="1">AVERAGE(C17:C19)</f>
        <v>8.6160256128683268E-7</v>
      </c>
      <c r="D20" s="105">
        <f t="shared" ref="D20:F20" ca="1" si="5">AVERAGE(D17:D19)</f>
        <v>0.6815259830479935</v>
      </c>
      <c r="E20" s="105">
        <f t="shared" ca="1" si="5"/>
        <v>0.59406439693115554</v>
      </c>
      <c r="F20" s="105">
        <f t="shared" ca="1" si="5"/>
        <v>0.56821100745691566</v>
      </c>
      <c r="I20" s="102">
        <f t="shared" ref="I20" ca="1" si="6">AVERAGE(I17:I19)</f>
        <v>1.7217366315589437</v>
      </c>
      <c r="J20" s="102">
        <f t="shared" ref="J20" ca="1" si="7">AVERAGE(J17:J19)</f>
        <v>0.61556798186049455</v>
      </c>
      <c r="K20" s="102">
        <f t="shared" ref="K20" ca="1" si="8">AVERAGE(K17:K19)</f>
        <v>0.59767210852006836</v>
      </c>
    </row>
    <row r="21" spans="2:11">
      <c r="D21" s="73"/>
      <c r="F21" s="85"/>
      <c r="I21" s="93"/>
      <c r="J21" s="16"/>
      <c r="K21" s="16"/>
    </row>
    <row r="22" spans="2:11">
      <c r="B22" s="68" t="s">
        <v>129</v>
      </c>
      <c r="C22" s="87" t="s">
        <v>114</v>
      </c>
      <c r="D22" s="81" t="str">
        <f>D4</f>
        <v>Excluders</v>
      </c>
      <c r="E22" s="81" t="str">
        <f>E4</f>
        <v>Full Retention</v>
      </c>
      <c r="F22" s="86" t="str">
        <f>F4</f>
        <v>Reduce DMR</v>
      </c>
      <c r="I22" s="90" t="str">
        <f>I4</f>
        <v>Excluders</v>
      </c>
      <c r="J22" s="90" t="str">
        <f>J4</f>
        <v>Full Retention</v>
      </c>
      <c r="K22" s="91" t="str">
        <f>K4</f>
        <v>Reduce DMR</v>
      </c>
    </row>
    <row r="23" spans="2:11">
      <c r="B23" s="8" t="s">
        <v>105</v>
      </c>
      <c r="C23" s="63">
        <f ca="1">'Status Quo'!C4</f>
        <v>0.60367653566062185</v>
      </c>
      <c r="D23" s="78">
        <f ca="1">'Excluders (1)'!C4</f>
        <v>0.60367371601208453</v>
      </c>
      <c r="E23" s="78">
        <f ca="1">'No Size Limit (1)'!$C4</f>
        <v>0.60367371601208453</v>
      </c>
      <c r="F23" s="78">
        <f ca="1">'Reduce DMR (1)'!$C4</f>
        <v>0.60367371601208453</v>
      </c>
      <c r="I23" s="97">
        <f ca="1">'Excluders (2)'!C4</f>
        <v>0.71126741040739672</v>
      </c>
      <c r="J23" s="97">
        <f ca="1">'No Size Limit (2)'!$C4</f>
        <v>0.66021417938208504</v>
      </c>
      <c r="K23" s="97">
        <f ca="1">'Reduce DMR (2)'!$C4</f>
        <v>0.64517448535957689</v>
      </c>
    </row>
    <row r="24" spans="2:11">
      <c r="B24" s="8" t="s">
        <v>106</v>
      </c>
      <c r="C24" s="63">
        <f ca="1">'Status Quo'!C5</f>
        <v>0.22513434994031639</v>
      </c>
      <c r="D24" s="78">
        <f ca="1">'Excluders (1)'!C5</f>
        <v>0.22513595166163142</v>
      </c>
      <c r="E24" s="78">
        <f ca="1">'No Size Limit (1)'!$C5</f>
        <v>0.22513595166163139</v>
      </c>
      <c r="F24" s="78">
        <f ca="1">'Reduce DMR (1)'!$C5</f>
        <v>0.22513595166163144</v>
      </c>
      <c r="I24" s="97">
        <f ca="1">'Excluders (2)'!C5</f>
        <v>0.13729294709599466</v>
      </c>
      <c r="J24" s="97">
        <f ca="1">'No Size Limit (2)'!$C5</f>
        <v>0.20562293233536855</v>
      </c>
      <c r="K24" s="97">
        <f ca="1">'Reduce DMR (2)'!$C5</f>
        <v>0.21854122339306845</v>
      </c>
    </row>
    <row r="25" spans="2:11">
      <c r="B25" s="48" t="s">
        <v>107</v>
      </c>
      <c r="C25" s="67">
        <f ca="1">'Status Quo'!C6</f>
        <v>0.17118911439906187</v>
      </c>
      <c r="D25" s="79">
        <f ca="1">'Excluders (1)'!C6</f>
        <v>0.17119033232628403</v>
      </c>
      <c r="E25" s="79">
        <f ca="1">'No Size Limit (1)'!$C6</f>
        <v>0.17119033232628403</v>
      </c>
      <c r="F25" s="78">
        <f ca="1">'Reduce DMR (1)'!$C6</f>
        <v>0.17119033232628403</v>
      </c>
      <c r="I25" s="97">
        <f ca="1">'Excluders (2)'!C6</f>
        <v>0.15143964249660852</v>
      </c>
      <c r="J25" s="98">
        <f ca="1">'No Size Limit (2)'!$C6</f>
        <v>0.13416288828254644</v>
      </c>
      <c r="K25" s="97">
        <f ca="1">'Reduce DMR (2)'!$C6</f>
        <v>0.13628429124735464</v>
      </c>
    </row>
    <row r="26" spans="2:11">
      <c r="B26" s="47" t="s">
        <v>72</v>
      </c>
      <c r="C26" s="64">
        <f ca="1">SUM(C23:C25)</f>
        <v>1</v>
      </c>
      <c r="D26" s="80">
        <f ca="1">SUM(D23:D25)</f>
        <v>1</v>
      </c>
      <c r="E26" s="80">
        <f ca="1">SUM(E23:E25)</f>
        <v>0.99999999999999989</v>
      </c>
      <c r="F26" s="88">
        <f ca="1">SUM(F23:F25)</f>
        <v>1</v>
      </c>
      <c r="I26" s="103">
        <f ca="1">SUM(I23:I25)</f>
        <v>0.99999999999999978</v>
      </c>
      <c r="J26" s="99">
        <f ca="1">SUM(J23:J25)</f>
        <v>1</v>
      </c>
      <c r="K26" s="103">
        <f ca="1">SUM(K23:K25)</f>
        <v>1</v>
      </c>
    </row>
    <row r="27" spans="2:11">
      <c r="D27" s="73"/>
      <c r="F27" s="85"/>
      <c r="I27" s="93"/>
      <c r="J27" s="16"/>
      <c r="K27" s="16"/>
    </row>
    <row r="28" spans="2:11">
      <c r="B28" s="68" t="s">
        <v>130</v>
      </c>
      <c r="C28" s="87" t="s">
        <v>114</v>
      </c>
      <c r="D28" s="81" t="str">
        <f>D4</f>
        <v>Excluders</v>
      </c>
      <c r="E28" s="81" t="str">
        <f>E4</f>
        <v>Full Retention</v>
      </c>
      <c r="F28" s="86" t="str">
        <f>F4</f>
        <v>Reduce DMR</v>
      </c>
      <c r="I28" s="90" t="str">
        <f>I4</f>
        <v>Excluders</v>
      </c>
      <c r="J28" s="90" t="str">
        <f>J4</f>
        <v>Full Retention</v>
      </c>
      <c r="K28" s="91" t="str">
        <f>K4</f>
        <v>Reduce DMR</v>
      </c>
    </row>
    <row r="29" spans="2:11">
      <c r="B29" s="8" t="s">
        <v>105</v>
      </c>
      <c r="C29" s="63">
        <f ca="1">'Status Quo'!C11</f>
        <v>0.33281647214735255</v>
      </c>
      <c r="D29" s="78">
        <f ca="1">'Excluders (1)'!C11</f>
        <v>0.20363299727562001</v>
      </c>
      <c r="E29" s="78">
        <f ca="1">'No Size Limit (1)'!$C11</f>
        <v>0.28363576736936597</v>
      </c>
      <c r="F29" s="78">
        <f ca="1">'Reduce DMR (1)'!$C11</f>
        <v>0.30004283434636758</v>
      </c>
      <c r="I29" s="97">
        <f ca="1">'Excluders (2)'!C11</f>
        <v>0.33281383386907948</v>
      </c>
      <c r="J29" s="97">
        <f ca="1">'No Size Limit (2)'!$C11</f>
        <v>0.33281383386907942</v>
      </c>
      <c r="K29" s="97">
        <f ca="1">'Reduce DMR (2)'!$C11</f>
        <v>0.33281383386907953</v>
      </c>
    </row>
    <row r="30" spans="2:11">
      <c r="B30" s="8">
        <v>0</v>
      </c>
      <c r="C30" s="63">
        <f ca="1">'Status Quo'!C12</f>
        <v>0.5289975977792859</v>
      </c>
      <c r="D30" s="78">
        <f ca="1">'Excluders (1)'!C12</f>
        <v>0.68157873728163154</v>
      </c>
      <c r="E30" s="78">
        <f ca="1">'No Size Limit (1)'!$C12</f>
        <v>0.55044115511719194</v>
      </c>
      <c r="F30" s="78">
        <f ca="1">'Reduce DMR (1)'!$C12</f>
        <v>0.53174446697831579</v>
      </c>
      <c r="I30" s="97">
        <f ca="1">'Excluders (2)'!C12</f>
        <v>0.52899969970753113</v>
      </c>
      <c r="J30" s="97">
        <f ca="1">'No Size Limit (2)'!$C12</f>
        <v>0.52899969970753113</v>
      </c>
      <c r="K30" s="97">
        <f ca="1">'Reduce DMR (2)'!$C12</f>
        <v>0.52899969970753113</v>
      </c>
    </row>
    <row r="31" spans="2:11">
      <c r="B31" s="48" t="s">
        <v>107</v>
      </c>
      <c r="C31" s="67">
        <f ca="1">'Status Quo'!C13</f>
        <v>0.13818593007336158</v>
      </c>
      <c r="D31" s="79">
        <f ca="1">'Excluders (1)'!C13</f>
        <v>0.11478826544274839</v>
      </c>
      <c r="E31" s="78">
        <f ca="1">'No Size Limit (1)'!$C13</f>
        <v>0.16592307751344212</v>
      </c>
      <c r="F31" s="78">
        <f ca="1">'Reduce DMR (1)'!$C13</f>
        <v>0.1682126986753166</v>
      </c>
      <c r="I31" s="97">
        <f ca="1">'Excluders (2)'!C13</f>
        <v>0.13818646642338936</v>
      </c>
      <c r="J31" s="97">
        <f ca="1">'No Size Limit (2)'!$C13</f>
        <v>0.13818646642338941</v>
      </c>
      <c r="K31" s="97">
        <f ca="1">'Reduce DMR (2)'!$C13</f>
        <v>0.13818646642338939</v>
      </c>
    </row>
    <row r="32" spans="2:11">
      <c r="B32" s="47" t="s">
        <v>72</v>
      </c>
      <c r="C32" s="64">
        <f ca="1">SUM(C29:C31)</f>
        <v>1</v>
      </c>
      <c r="D32" s="80">
        <f ca="1">SUM(D29:D31)</f>
        <v>1</v>
      </c>
      <c r="E32" s="88">
        <f ca="1">SUM(E29:E31)</f>
        <v>1</v>
      </c>
      <c r="F32" s="88">
        <f ca="1">SUM(F29:F31)</f>
        <v>1</v>
      </c>
      <c r="I32" s="103">
        <f ca="1">SUM(I29:I31)</f>
        <v>1</v>
      </c>
      <c r="J32" s="103">
        <f ca="1">SUM(J29:J31)</f>
        <v>1</v>
      </c>
      <c r="K32" s="103">
        <f ca="1">SUM(K29:K31)</f>
        <v>1</v>
      </c>
    </row>
    <row r="33" spans="2:11">
      <c r="D33" s="73"/>
      <c r="F33" s="85"/>
      <c r="I33" s="93"/>
      <c r="J33" s="16"/>
      <c r="K33" s="16"/>
    </row>
    <row r="34" spans="2:11">
      <c r="B34" s="61" t="s">
        <v>132</v>
      </c>
      <c r="C34" s="87" t="s">
        <v>114</v>
      </c>
      <c r="D34" s="81" t="str">
        <f>D4</f>
        <v>Excluders</v>
      </c>
      <c r="E34" s="81" t="str">
        <f>E4</f>
        <v>Full Retention</v>
      </c>
      <c r="F34" s="86" t="str">
        <f>F4</f>
        <v>Reduce DMR</v>
      </c>
      <c r="I34" s="90" t="str">
        <f>I4</f>
        <v>Excluders</v>
      </c>
      <c r="J34" s="90" t="str">
        <f>J4</f>
        <v>Full Retention</v>
      </c>
      <c r="K34" s="91" t="str">
        <f>K4</f>
        <v>Reduce DMR</v>
      </c>
    </row>
    <row r="35" spans="2:11">
      <c r="B35" s="8" t="s">
        <v>105</v>
      </c>
      <c r="C35" s="70">
        <f ca="1">avg_wt1</f>
        <v>27.965760347362782</v>
      </c>
      <c r="D35" s="82">
        <f ca="1">'Excluders (1)'!avg_wt1</f>
        <v>59.725623146655145</v>
      </c>
      <c r="E35" s="82">
        <f ca="1">'No Size Limit (1)'!avg_wt1</f>
        <v>55.87216293083948</v>
      </c>
      <c r="F35" s="82">
        <f ca="1">'Reduce DMR (1)'!avg_wt1</f>
        <v>56.243981580945039</v>
      </c>
      <c r="I35" s="100">
        <f ca="1">'Excluders (2)'!avg_wt1</f>
        <v>55.628569858041502</v>
      </c>
      <c r="J35" s="100">
        <f ca="1">'No Size Limit (2)'!avg_wt1</f>
        <v>55.253535720671387</v>
      </c>
      <c r="K35" s="100">
        <f ca="1">'Reduce DMR (2)'!avg_wt1</f>
        <v>56.033652856173013</v>
      </c>
    </row>
    <row r="36" spans="2:11">
      <c r="B36" s="8" t="s">
        <v>106</v>
      </c>
      <c r="C36" s="70">
        <f ca="1">avg_wt2</f>
        <v>6.561682489145312</v>
      </c>
      <c r="D36" s="82">
        <f ca="1">'Excluders (1)'!avg_wt2</f>
        <v>6.6548059330886309</v>
      </c>
      <c r="E36" s="82">
        <f ca="1">'No Size Limit (1)'!avg_wt2</f>
        <v>10.737128924240285</v>
      </c>
      <c r="F36" s="82">
        <f ca="1">'Reduce DMR (1)'!avg_wt2</f>
        <v>11.835835554712046</v>
      </c>
      <c r="I36" s="100">
        <f ca="1">'Excluders (2)'!avg_wt2</f>
        <v>6.7555257984811359</v>
      </c>
      <c r="J36" s="100">
        <f ca="1">'No Size Limit (2)'!avg_wt2</f>
        <v>10.826615651921191</v>
      </c>
      <c r="K36" s="100">
        <f ca="1">'Reduce DMR (2)'!avg_wt2</f>
        <v>11.941285053669185</v>
      </c>
    </row>
    <row r="37" spans="2:11">
      <c r="B37" s="48" t="s">
        <v>107</v>
      </c>
      <c r="C37" s="71">
        <f ca="1">avg_wt3</f>
        <v>19.100268315238381</v>
      </c>
      <c r="D37" s="83">
        <f ca="1">'Excluders (1)'!avg_wt3</f>
        <v>30.046114502324624</v>
      </c>
      <c r="E37" s="82">
        <f ca="1">'No Size Limit (1)'!avg_wt3</f>
        <v>27.084863651871267</v>
      </c>
      <c r="F37" s="82">
        <f ca="1">'Reduce DMR (1)'!avg_wt3</f>
        <v>28.449687890666102</v>
      </c>
      <c r="I37" s="101">
        <f ca="1">'Excluders (2)'!avg_wt3</f>
        <v>28.525969852072915</v>
      </c>
      <c r="J37" s="100">
        <f ca="1">'No Size Limit (2)'!avg_wt3</f>
        <v>27.042291157999376</v>
      </c>
      <c r="K37" s="100">
        <f ca="1">'Reduce DMR (2)'!avg_wt3</f>
        <v>28.507124310469173</v>
      </c>
    </row>
    <row r="38" spans="2:11">
      <c r="B38" s="47" t="s">
        <v>128</v>
      </c>
      <c r="C38" s="72">
        <f ca="1">AVERAGE(C35:C37)</f>
        <v>17.875903717248825</v>
      </c>
      <c r="D38" s="84">
        <f ca="1">AVERAGE(D35:D37)</f>
        <v>32.142181194022804</v>
      </c>
      <c r="E38" s="89">
        <f ca="1">AVERAGE(E35:E37)</f>
        <v>31.231385168983678</v>
      </c>
      <c r="F38" s="89">
        <f ca="1">AVERAGE(F35:F37)</f>
        <v>32.17650167544106</v>
      </c>
      <c r="I38" s="104">
        <f ca="1">AVERAGE(I35:I37)</f>
        <v>30.303355169531851</v>
      </c>
      <c r="J38" s="104">
        <f ca="1">AVERAGE(J35:J37)</f>
        <v>31.040814176863986</v>
      </c>
      <c r="K38" s="104">
        <f ca="1">AVERAGE(K35:K37)</f>
        <v>32.160687406770457</v>
      </c>
    </row>
    <row r="39" spans="2:11">
      <c r="I39" s="16"/>
    </row>
    <row r="46" spans="2:11">
      <c r="C46" s="51" t="s">
        <v>126</v>
      </c>
      <c r="D46" s="51"/>
      <c r="E46" s="51"/>
      <c r="F46" s="51"/>
    </row>
    <row r="47" spans="2:11">
      <c r="C47" s="53"/>
      <c r="D47" s="50" t="s">
        <v>105</v>
      </c>
      <c r="E47" s="50" t="s">
        <v>106</v>
      </c>
      <c r="F47" s="50" t="s">
        <v>107</v>
      </c>
    </row>
    <row r="48" spans="2:11">
      <c r="C48" s="54" t="s">
        <v>105</v>
      </c>
      <c r="D48" s="49">
        <f ca="1">'Status Quo'!G47</f>
        <v>1</v>
      </c>
      <c r="E48" s="49">
        <f ca="1">'Status Quo'!H47</f>
        <v>0.91177356476596527</v>
      </c>
      <c r="F48" s="49">
        <f ca="1">'Status Quo'!I47</f>
        <v>0.91573888060516828</v>
      </c>
    </row>
    <row r="49" spans="3:6">
      <c r="C49" s="54" t="s">
        <v>106</v>
      </c>
      <c r="D49" s="49">
        <f ca="1">'Status Quo'!G48</f>
        <v>1.0967635371800681</v>
      </c>
      <c r="E49" s="49">
        <f ca="1">'Status Quo'!H48</f>
        <v>0.99999999999999989</v>
      </c>
      <c r="F49" s="49">
        <f ca="1">'Status Quo'!I48</f>
        <v>2.1353486094044838</v>
      </c>
    </row>
    <row r="50" spans="3:6">
      <c r="C50" s="55" t="s">
        <v>107</v>
      </c>
      <c r="D50" s="52">
        <f ca="1">'Status Quo'!G49</f>
        <v>1.0920143516666536</v>
      </c>
      <c r="E50" s="52">
        <f ca="1">'Status Quo'!H49</f>
        <v>0.46830760822650164</v>
      </c>
      <c r="F50" s="52">
        <f ca="1">'Status Quo'!I49</f>
        <v>0.99999999999999967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36" sqref="C36:C42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 t="shared" ref="B4:B6" si="0">E4/SUM(E$4:E$6)</f>
        <v>0.60367371601208464</v>
      </c>
      <c r="C4" s="21">
        <f ca="1">ypr1/SUM(ypr1,ypr2,ypr3)</f>
        <v>0.60367653566062185</v>
      </c>
      <c r="E4" s="46">
        <v>24977</v>
      </c>
      <c r="F4" s="46">
        <f ca="1">ye_1</f>
        <v>2.5844008932292332E-2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106</v>
      </c>
      <c r="B5" s="24">
        <f t="shared" si="0"/>
        <v>0.22513595166163142</v>
      </c>
      <c r="C5" s="21">
        <f ca="1">ypr2/SUM(ypr1,ypr2,ypr3)</f>
        <v>0.22513434994031639</v>
      </c>
      <c r="E5" s="46">
        <v>9315</v>
      </c>
      <c r="F5" s="46">
        <f ca="1">ye_2</f>
        <v>9.6382314155313963E-3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107</v>
      </c>
      <c r="B6" s="24">
        <f t="shared" si="0"/>
        <v>0.171190332326284</v>
      </c>
      <c r="C6" s="21">
        <f ca="1">ypr3/SUM(ypr1,ypr2,ypr3)</f>
        <v>0.17118911439906187</v>
      </c>
      <c r="E6" s="46">
        <v>7083</v>
      </c>
      <c r="F6" s="46">
        <f ca="1">ye_3</f>
        <v>7.328780796157691E-3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0.45</v>
      </c>
      <c r="C7" s="22">
        <f ca="1">spr</f>
        <v>0.44999836467359461</v>
      </c>
      <c r="J7" t="s">
        <v>7</v>
      </c>
      <c r="K7" s="1">
        <f>1</f>
        <v>1</v>
      </c>
      <c r="L7" s="1">
        <f ca="1">K7*EXP(-K8)</f>
        <v>0.86056856684891947</v>
      </c>
      <c r="M7" s="1">
        <f t="shared" ref="M7:AH7" ca="1" si="4">L7*EXP(-L8)</f>
        <v>0.73915575172765524</v>
      </c>
      <c r="N7" s="1">
        <f t="shared" ca="1" si="4"/>
        <v>0.62717267689399148</v>
      </c>
      <c r="O7" s="1">
        <f t="shared" ca="1" si="4"/>
        <v>0.52755544872610871</v>
      </c>
      <c r="P7" s="1">
        <f t="shared" ca="1" si="4"/>
        <v>0.44408409825239997</v>
      </c>
      <c r="Q7" s="1">
        <f t="shared" ca="1" si="4"/>
        <v>0.37441117096966531</v>
      </c>
      <c r="R7" s="1">
        <f t="shared" ca="1" si="4"/>
        <v>0.31607686746223462</v>
      </c>
      <c r="S7" s="1">
        <f t="shared" ca="1" si="4"/>
        <v>0.26688450833641436</v>
      </c>
      <c r="T7" s="1">
        <f t="shared" ca="1" si="4"/>
        <v>0.22395385373746998</v>
      </c>
      <c r="U7" s="1">
        <f t="shared" ca="1" si="4"/>
        <v>0.18568808529150663</v>
      </c>
      <c r="V7" s="1">
        <f t="shared" ca="1" si="4"/>
        <v>0.15258336881165871</v>
      </c>
      <c r="W7" s="1">
        <f t="shared" ca="1" si="4"/>
        <v>0.12377254377097821</v>
      </c>
      <c r="X7" s="1">
        <f t="shared" ca="1" si="4"/>
        <v>9.8710391384072421E-2</v>
      </c>
      <c r="Y7" s="1">
        <f t="shared" ca="1" si="4"/>
        <v>7.7601973334880642E-2</v>
      </c>
      <c r="Z7" s="1">
        <f t="shared" ca="1" si="4"/>
        <v>6.0531623551544102E-2</v>
      </c>
      <c r="AA7" s="1">
        <f t="shared" ca="1" si="4"/>
        <v>4.6990376853633123E-2</v>
      </c>
      <c r="AB7" s="1">
        <f t="shared" ca="1" si="4"/>
        <v>3.6404215222345354E-2</v>
      </c>
      <c r="AC7" s="1">
        <f t="shared" ca="1" si="4"/>
        <v>2.8179810905283792E-2</v>
      </c>
      <c r="AD7" s="1">
        <f t="shared" ca="1" si="4"/>
        <v>2.1806396101219174E-2</v>
      </c>
      <c r="AE7" s="1">
        <f t="shared" ca="1" si="4"/>
        <v>1.6872321652001941E-2</v>
      </c>
      <c r="AF7" s="1">
        <f t="shared" ca="1" si="4"/>
        <v>1.3054029127802616E-2</v>
      </c>
      <c r="AG7" s="1">
        <f t="shared" ca="1" si="4"/>
        <v>1.0099648181475337E-2</v>
      </c>
      <c r="AH7" s="1">
        <f t="shared" ca="1" si="4"/>
        <v>7.8138484480065069E-3</v>
      </c>
      <c r="AI7" s="1">
        <f ca="1">AH7*EXP(-AH8)/(1-EXP(-AI8))</f>
        <v>2.6710817648806805E-2</v>
      </c>
    </row>
    <row r="8" spans="1:35">
      <c r="A8" s="5"/>
      <c r="B8" s="25"/>
      <c r="C8" s="25"/>
      <c r="E8" t="s">
        <v>110</v>
      </c>
      <c r="F8">
        <f ca="1">SUMXMY2(E4:E6,F4:F6)</f>
        <v>760787068.60943234</v>
      </c>
      <c r="J8" t="s">
        <v>11</v>
      </c>
      <c r="K8" s="1">
        <f ca="1">M+f1_*flt1_ +f2_*flt2_ +f3_*flt3_</f>
        <v>0.15016198393801153</v>
      </c>
      <c r="L8" s="1">
        <f t="shared" ref="L8:AI8" ca="1" si="5">M+f1_*flt1_ +f2_*flt2_ +f3_*flt3_</f>
        <v>0.15208463618410412</v>
      </c>
      <c r="M8" s="1">
        <f t="shared" ca="1" si="5"/>
        <v>0.16428675439839696</v>
      </c>
      <c r="N8" s="1">
        <f t="shared" ca="1" si="5"/>
        <v>0.17296792856725707</v>
      </c>
      <c r="O8" s="1">
        <f t="shared" ca="1" si="5"/>
        <v>0.1722400209196642</v>
      </c>
      <c r="P8" s="1">
        <f t="shared" ca="1" si="5"/>
        <v>0.17065937382475299</v>
      </c>
      <c r="Q8" s="1">
        <f t="shared" ca="1" si="5"/>
        <v>0.1693691456811105</v>
      </c>
      <c r="R8" s="1">
        <f t="shared" ca="1" si="5"/>
        <v>0.16916942369378285</v>
      </c>
      <c r="S8" s="1">
        <f t="shared" ca="1" si="5"/>
        <v>0.17537599124359321</v>
      </c>
      <c r="T8" s="1">
        <f t="shared" ca="1" si="5"/>
        <v>0.18737171528933508</v>
      </c>
      <c r="U8" s="1">
        <f t="shared" ca="1" si="5"/>
        <v>0.19635717783794773</v>
      </c>
      <c r="V8" s="1">
        <f t="shared" ca="1" si="5"/>
        <v>0.20926557065997198</v>
      </c>
      <c r="W8" s="1">
        <f t="shared" ca="1" si="5"/>
        <v>0.22625533333318959</v>
      </c>
      <c r="X8" s="1">
        <f t="shared" ca="1" si="5"/>
        <v>0.24059736697196835</v>
      </c>
      <c r="Y8" s="1">
        <f t="shared" ca="1" si="5"/>
        <v>0.24842692463274862</v>
      </c>
      <c r="Z8" s="1">
        <f t="shared" ca="1" si="5"/>
        <v>0.25322309885497507</v>
      </c>
      <c r="AA8" s="1">
        <f t="shared" ca="1" si="5"/>
        <v>0.25525826220157488</v>
      </c>
      <c r="AB8" s="1">
        <f t="shared" ca="1" si="5"/>
        <v>0.25607877454716188</v>
      </c>
      <c r="AC8" s="1">
        <f t="shared" ca="1" si="5"/>
        <v>0.25640247030216329</v>
      </c>
      <c r="AD8" s="1">
        <f t="shared" ca="1" si="5"/>
        <v>0.25652881865710025</v>
      </c>
      <c r="AE8" s="1">
        <f t="shared" ca="1" si="5"/>
        <v>0.25657767570119766</v>
      </c>
      <c r="AF8" s="1">
        <f t="shared" ca="1" si="5"/>
        <v>0.25659624181890994</v>
      </c>
      <c r="AG8" s="1">
        <f t="shared" ca="1" si="5"/>
        <v>0.25660298820976507</v>
      </c>
      <c r="AH8" s="1">
        <f t="shared" ca="1" si="5"/>
        <v>0.25660512561387638</v>
      </c>
      <c r="AI8" s="1">
        <f t="shared" ca="1" si="5"/>
        <v>0.25660546626245245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0.86056856684891947</v>
      </c>
      <c r="L10" s="1">
        <f t="shared" ca="1" si="6"/>
        <v>0.85891558232735299</v>
      </c>
      <c r="M10" s="1">
        <f t="shared" ca="1" si="6"/>
        <v>0.84849867626420861</v>
      </c>
      <c r="N10" s="1">
        <f t="shared" ca="1" si="6"/>
        <v>0.84116459176565717</v>
      </c>
      <c r="O10" s="1">
        <f t="shared" ca="1" si="6"/>
        <v>0.84177710480430534</v>
      </c>
      <c r="P10" s="1">
        <f t="shared" ca="1" si="6"/>
        <v>0.84310870946084782</v>
      </c>
      <c r="Q10" s="1">
        <f t="shared" ca="1" si="6"/>
        <v>0.84419721410460546</v>
      </c>
      <c r="R10" s="1">
        <f t="shared" ca="1" si="6"/>
        <v>0.84436583568806134</v>
      </c>
      <c r="S10" s="1">
        <f t="shared" ca="1" si="6"/>
        <v>0.83914145160936338</v>
      </c>
      <c r="T10" s="1">
        <f t="shared" ca="1" si="6"/>
        <v>0.829135476762903</v>
      </c>
      <c r="U10" s="1">
        <f t="shared" ca="1" si="6"/>
        <v>0.82171868255371505</v>
      </c>
      <c r="V10" s="1">
        <f t="shared" ca="1" si="6"/>
        <v>0.81117978148560121</v>
      </c>
      <c r="W10" s="1">
        <f t="shared" ca="1" si="6"/>
        <v>0.79751444364527735</v>
      </c>
      <c r="X10" s="1">
        <f t="shared" ca="1" si="6"/>
        <v>0.78615809588819274</v>
      </c>
      <c r="Y10" s="1">
        <f t="shared" ca="1" si="6"/>
        <v>0.78002685950173212</v>
      </c>
      <c r="Z10" s="1">
        <f t="shared" ca="1" si="6"/>
        <v>0.77629467205054747</v>
      </c>
      <c r="AA10" s="1">
        <f t="shared" ca="1" si="6"/>
        <v>0.7747163921612753</v>
      </c>
      <c r="AB10" s="1">
        <f t="shared" ca="1" si="6"/>
        <v>0.7740809885110963</v>
      </c>
      <c r="AC10" s="1">
        <f t="shared" ca="1" si="6"/>
        <v>0.77383046233040609</v>
      </c>
      <c r="AD10" s="1">
        <f t="shared" ca="1" si="6"/>
        <v>0.77373269630090902</v>
      </c>
      <c r="AE10" s="1">
        <f t="shared" ca="1" si="6"/>
        <v>0.77369489493188537</v>
      </c>
      <c r="AF10" s="1">
        <f t="shared" ca="1" si="6"/>
        <v>0.7736805305547384</v>
      </c>
      <c r="AG10" s="1">
        <f t="shared" ca="1" si="6"/>
        <v>0.77367531102108889</v>
      </c>
      <c r="AH10" s="1">
        <f t="shared" ca="1" si="6"/>
        <v>0.77367365736606553</v>
      </c>
      <c r="AI10" s="1">
        <f t="shared" ca="1" si="6"/>
        <v>0.77367339381528066</v>
      </c>
    </row>
    <row r="11" spans="1:35">
      <c r="A11" s="5">
        <v>1</v>
      </c>
      <c r="B11" s="24">
        <v>0.33281383386907948</v>
      </c>
      <c r="C11" s="17">
        <f ca="1">mpr1_/SUM(mpr1_,mpr2_,mpr3_)</f>
        <v>0.33281647214735255</v>
      </c>
      <c r="J11" t="s">
        <v>56</v>
      </c>
      <c r="K11" s="1">
        <f ca="1">1-sa</f>
        <v>0.13943143315108053</v>
      </c>
      <c r="L11" s="1">
        <f t="shared" ref="L11:AI11" ca="1" si="7">1-sa</f>
        <v>0.14108441767264701</v>
      </c>
      <c r="M11" s="1">
        <f t="shared" ca="1" si="7"/>
        <v>0.15150132373579139</v>
      </c>
      <c r="N11" s="1">
        <f t="shared" ca="1" si="7"/>
        <v>0.15883540823434283</v>
      </c>
      <c r="O11" s="1">
        <f t="shared" ca="1" si="7"/>
        <v>0.15822289519569466</v>
      </c>
      <c r="P11" s="1">
        <f t="shared" ca="1" si="7"/>
        <v>0.15689129053915218</v>
      </c>
      <c r="Q11" s="1">
        <f t="shared" ca="1" si="7"/>
        <v>0.15580278589539454</v>
      </c>
      <c r="R11" s="1">
        <f t="shared" ca="1" si="7"/>
        <v>0.15563416431193866</v>
      </c>
      <c r="S11" s="1">
        <f t="shared" ca="1" si="7"/>
        <v>0.16085854839063662</v>
      </c>
      <c r="T11" s="1">
        <f t="shared" ca="1" si="7"/>
        <v>0.170864523237097</v>
      </c>
      <c r="U11" s="1">
        <f t="shared" ca="1" si="7"/>
        <v>0.17828131744628495</v>
      </c>
      <c r="V11" s="1">
        <f t="shared" ca="1" si="7"/>
        <v>0.18882021851439879</v>
      </c>
      <c r="W11" s="1">
        <f t="shared" ca="1" si="7"/>
        <v>0.20248555635472265</v>
      </c>
      <c r="X11" s="1">
        <f t="shared" ca="1" si="7"/>
        <v>0.21384190411180726</v>
      </c>
      <c r="Y11" s="1">
        <f t="shared" ca="1" si="7"/>
        <v>0.21997314049826788</v>
      </c>
      <c r="Z11" s="1">
        <f t="shared" ca="1" si="7"/>
        <v>0.22370532794945253</v>
      </c>
      <c r="AA11" s="1">
        <f t="shared" ca="1" si="7"/>
        <v>0.2252836078387247</v>
      </c>
      <c r="AB11" s="1">
        <f t="shared" ca="1" si="7"/>
        <v>0.2259190114889037</v>
      </c>
      <c r="AC11" s="1">
        <f t="shared" ca="1" si="7"/>
        <v>0.22616953766959391</v>
      </c>
      <c r="AD11" s="1">
        <f t="shared" ca="1" si="7"/>
        <v>0.22626730369909098</v>
      </c>
      <c r="AE11" s="1">
        <f t="shared" ca="1" si="7"/>
        <v>0.22630510506811463</v>
      </c>
      <c r="AF11" s="1">
        <f t="shared" ca="1" si="7"/>
        <v>0.2263194694452616</v>
      </c>
      <c r="AG11" s="1">
        <f t="shared" ca="1" si="7"/>
        <v>0.22632468897891111</v>
      </c>
      <c r="AH11" s="1">
        <f t="shared" ca="1" si="7"/>
        <v>0.22632634263393447</v>
      </c>
      <c r="AI11" s="1">
        <f t="shared" ca="1" si="7"/>
        <v>0.22632660618471934</v>
      </c>
    </row>
    <row r="12" spans="1:35">
      <c r="A12" s="5">
        <v>2</v>
      </c>
      <c r="B12" s="24">
        <v>0.52899969970753113</v>
      </c>
      <c r="C12" s="17">
        <f ca="1">mpr2_/SUM(mpr1_,mpr2_,mpr3_)</f>
        <v>0.5289975977792859</v>
      </c>
      <c r="J12" t="s">
        <v>99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0.13818593007336158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6" t="s">
        <v>49</v>
      </c>
      <c r="B14" s="29"/>
      <c r="C14" s="28">
        <f ca="1">spr</f>
        <v>0.44999836467359461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5" t="s">
        <v>50</v>
      </c>
      <c r="C15" s="25">
        <f ca="1">CHOOSE(C25,SUMXMY2(B14,C14),SUMXMY2(B7,C7))</f>
        <v>2.6742924522067839E-12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2.3275156653616631E-2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SAA!linf</f>
        <v>150.8458480206651</v>
      </c>
      <c r="J22" s="8" t="s">
        <v>23</v>
      </c>
      <c r="K22" s="1">
        <f ca="1">wa*flt1_*(1-EXP(-za))/za</f>
        <v>2.0955965141311619E-7</v>
      </c>
      <c r="L22" s="1">
        <f t="shared" ref="K22:AI22" ca="1" si="18">wa*flt1_*(1-EXP(-za))/za</f>
        <v>2.2902466766917896E-6</v>
      </c>
      <c r="M22" s="1">
        <f t="shared" ca="1" si="18"/>
        <v>1.4831080980505841E-5</v>
      </c>
      <c r="N22" s="1">
        <f t="shared" ca="1" si="18"/>
        <v>7.4252689562405704E-5</v>
      </c>
      <c r="O22" s="1">
        <f t="shared" ca="1" si="18"/>
        <v>3.1964503835247362E-4</v>
      </c>
      <c r="P22" s="1">
        <f t="shared" ca="1" si="18"/>
        <v>1.2420837554238393E-3</v>
      </c>
      <c r="Q22" s="1">
        <f t="shared" ca="1" si="18"/>
        <v>4.563144256985974E-3</v>
      </c>
      <c r="R22" s="1">
        <f t="shared" ca="1" si="18"/>
        <v>1.9174422404634225E-2</v>
      </c>
      <c r="S22" s="1">
        <f t="shared" ca="1" si="18"/>
        <v>0.13872939607626891</v>
      </c>
      <c r="T22" s="1">
        <f t="shared" ca="1" si="18"/>
        <v>0.77291899010092524</v>
      </c>
      <c r="U22" s="1">
        <f t="shared" ca="1" si="18"/>
        <v>2.4146723304647266</v>
      </c>
      <c r="V22" s="1">
        <f t="shared" ca="1" si="18"/>
        <v>5.7631175368093643</v>
      </c>
      <c r="W22" s="1">
        <f t="shared" ca="1" si="18"/>
        <v>10.864363651642073</v>
      </c>
      <c r="X22" s="1">
        <f t="shared" ca="1" si="18"/>
        <v>16.345595787672305</v>
      </c>
      <c r="Y22" s="1">
        <f t="shared" ca="1" si="18"/>
        <v>20.946841310305263</v>
      </c>
      <c r="Z22" s="1">
        <f t="shared" ca="1" si="18"/>
        <v>24.523982750186292</v>
      </c>
      <c r="AA22" s="1">
        <f t="shared" ca="1" si="18"/>
        <v>27.451535548590673</v>
      </c>
      <c r="AB22" s="1">
        <f t="shared" ca="1" si="18"/>
        <v>30.02260186023295</v>
      </c>
      <c r="AC22" s="1">
        <f t="shared" ca="1" si="18"/>
        <v>32.392394309286061</v>
      </c>
      <c r="AD22" s="1">
        <f t="shared" ca="1" si="18"/>
        <v>34.630059603366554</v>
      </c>
      <c r="AE22" s="1">
        <f t="shared" ca="1" si="18"/>
        <v>36.763163052939966</v>
      </c>
      <c r="AF22" s="1">
        <f t="shared" ca="1" si="18"/>
        <v>38.801387040155788</v>
      </c>
      <c r="AG22" s="1">
        <f t="shared" ca="1" si="18"/>
        <v>40.747470296005659</v>
      </c>
      <c r="AH22" s="1">
        <f t="shared" ca="1" si="18"/>
        <v>42.601919553033106</v>
      </c>
      <c r="AI22" s="1">
        <f t="shared" ca="1" si="18"/>
        <v>44.364920846318611</v>
      </c>
      <c r="AM22" s="42"/>
    </row>
    <row r="23" spans="1:39">
      <c r="A23" t="s">
        <v>80</v>
      </c>
      <c r="B23" s="30">
        <f>SAA!B3</f>
        <v>7.9515419810206461E-2</v>
      </c>
      <c r="J23" s="8" t="s">
        <v>24</v>
      </c>
      <c r="K23" s="1">
        <f t="shared" ref="K23:AI23" ca="1" si="19">wa*flt2_*(1-EXP(-za))/za</f>
        <v>4.1852395967662323E-4</v>
      </c>
      <c r="L23" s="1">
        <f t="shared" ca="1" si="19"/>
        <v>2.3022942825630454E-2</v>
      </c>
      <c r="M23" s="1">
        <f ca="1">wa*flt2_*(1-EXP(-za))/za</f>
        <v>0.39852696211040589</v>
      </c>
      <c r="N23" s="1">
        <f t="shared" ca="1" si="19"/>
        <v>1.2497244218270218</v>
      </c>
      <c r="O23" s="1">
        <f t="shared" ca="1" si="19"/>
        <v>2.0255983258628385</v>
      </c>
      <c r="P23" s="1">
        <f t="shared" ca="1" si="19"/>
        <v>2.8241972159326756</v>
      </c>
      <c r="Q23" s="1">
        <f t="shared" ca="1" si="19"/>
        <v>3.645769231024989</v>
      </c>
      <c r="R23" s="1">
        <f t="shared" ca="1" si="19"/>
        <v>4.4513636489956028</v>
      </c>
      <c r="S23" s="1">
        <f t="shared" ca="1" si="19"/>
        <v>5.1927224902710467</v>
      </c>
      <c r="T23" s="1">
        <f t="shared" ca="1" si="19"/>
        <v>5.8403451870418692</v>
      </c>
      <c r="U23" s="1">
        <f t="shared" ca="1" si="19"/>
        <v>6.4010082762183584</v>
      </c>
      <c r="V23" s="1">
        <f t="shared" ca="1" si="19"/>
        <v>6.8461730037045285</v>
      </c>
      <c r="W23" s="1">
        <f t="shared" ca="1" si="19"/>
        <v>7.1715049642657585</v>
      </c>
      <c r="X23" s="1">
        <f t="shared" ca="1" si="19"/>
        <v>7.4029220086268639</v>
      </c>
      <c r="Y23" s="1">
        <f t="shared" ca="1" si="19"/>
        <v>7.5619332609218448</v>
      </c>
      <c r="Z23" s="1">
        <f t="shared" ca="1" si="19"/>
        <v>8.3321023894799868</v>
      </c>
      <c r="AA23" s="1">
        <f t="shared" ca="1" si="19"/>
        <v>9.0994381796335251</v>
      </c>
      <c r="AB23" s="1">
        <f t="shared" ca="1" si="19"/>
        <v>9.8548438063526209</v>
      </c>
      <c r="AC23" s="1">
        <f t="shared" ca="1" si="19"/>
        <v>10.592062969069302</v>
      </c>
      <c r="AD23" s="1">
        <f t="shared" ca="1" si="19"/>
        <v>11.306885430210352</v>
      </c>
      <c r="AE23" s="1">
        <f t="shared" ca="1" si="19"/>
        <v>11.996440547220125</v>
      </c>
      <c r="AF23" s="1">
        <f t="shared" ca="1" si="19"/>
        <v>12.658776710818243</v>
      </c>
      <c r="AG23" s="1">
        <f t="shared" ca="1" si="19"/>
        <v>13.292620574236594</v>
      </c>
      <c r="AH23" s="1">
        <f t="shared" ca="1" si="19"/>
        <v>13.897228059264991</v>
      </c>
      <c r="AI23" s="1">
        <f t="shared" ca="1" si="19"/>
        <v>14.472280922774312</v>
      </c>
      <c r="AM23" s="42"/>
    </row>
    <row r="24" spans="1:39">
      <c r="A24" t="s">
        <v>124</v>
      </c>
      <c r="B24" s="30">
        <f>[0]!to</f>
        <v>0.59695167544184935</v>
      </c>
      <c r="J24" s="8" t="s">
        <v>25</v>
      </c>
      <c r="K24" s="1">
        <f t="shared" ref="K24:AI24" ca="1" si="20">wa*flt3_*(1-EXP(-za))/za</f>
        <v>1.684519080893634E-6</v>
      </c>
      <c r="L24" s="1">
        <f t="shared" ca="1" si="20"/>
        <v>2.5703222731094508E-5</v>
      </c>
      <c r="M24" s="1">
        <f t="shared" ca="1" si="20"/>
        <v>2.3186365848153277E-4</v>
      </c>
      <c r="N24" s="1">
        <f t="shared" ca="1" si="20"/>
        <v>1.6025941592447976E-3</v>
      </c>
      <c r="O24" s="1">
        <f t="shared" ca="1" si="20"/>
        <v>9.2019763971298695E-3</v>
      </c>
      <c r="P24" s="1">
        <f t="shared" ca="1" si="20"/>
        <v>4.2502104678829616E-2</v>
      </c>
      <c r="Q24" s="1">
        <f t="shared" ca="1" si="20"/>
        <v>0.14690672915962297</v>
      </c>
      <c r="R24" s="1">
        <f t="shared" ca="1" si="20"/>
        <v>0.59748317057720224</v>
      </c>
      <c r="S24" s="1">
        <f t="shared" ca="1" si="20"/>
        <v>3.5840049995787684</v>
      </c>
      <c r="T24" s="1">
        <f t="shared" ca="1" si="20"/>
        <v>9.0618567899612383</v>
      </c>
      <c r="U24" s="1">
        <f t="shared" ca="1" si="20"/>
        <v>11.500003990535951</v>
      </c>
      <c r="V24" s="1">
        <f t="shared" ca="1" si="20"/>
        <v>12.36127652861888</v>
      </c>
      <c r="W24" s="1">
        <f t="shared" ca="1" si="20"/>
        <v>12.736221176690313</v>
      </c>
      <c r="X24" s="1">
        <f t="shared" ca="1" si="20"/>
        <v>12.886144387205583</v>
      </c>
      <c r="Y24" s="1">
        <f t="shared" ca="1" si="20"/>
        <v>12.893175507729342</v>
      </c>
      <c r="Z24" s="1">
        <f t="shared" ca="1" si="20"/>
        <v>14.206321948263332</v>
      </c>
      <c r="AA24" s="1">
        <f t="shared" ca="1" si="20"/>
        <v>15.514637517105795</v>
      </c>
      <c r="AB24" s="1">
        <f t="shared" ca="1" si="20"/>
        <v>16.802612032187444</v>
      </c>
      <c r="AC24" s="1">
        <f t="shared" ca="1" si="20"/>
        <v>18.059578435433473</v>
      </c>
      <c r="AD24" s="1">
        <f t="shared" ca="1" si="20"/>
        <v>19.278358227631088</v>
      </c>
      <c r="AE24" s="1">
        <f t="shared" ca="1" si="20"/>
        <v>20.454056933120068</v>
      </c>
      <c r="AF24" s="1">
        <f t="shared" ca="1" si="20"/>
        <v>21.583347037611897</v>
      </c>
      <c r="AG24" s="1">
        <f t="shared" ca="1" si="20"/>
        <v>22.664057471514056</v>
      </c>
      <c r="AH24" s="1">
        <f t="shared" ca="1" si="20"/>
        <v>23.694919573675438</v>
      </c>
      <c r="AI24" s="1">
        <f t="shared" ca="1" si="20"/>
        <v>24.675390736223644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2.6002779537921891E-6</v>
      </c>
      <c r="L26">
        <f t="shared" ref="L26:AI26" ca="1" si="21">qa1_/wa</f>
        <v>6.6647905573619292E-6</v>
      </c>
      <c r="M26">
        <f t="shared" ca="1" si="21"/>
        <v>1.6996590526692888E-5</v>
      </c>
      <c r="N26">
        <f t="shared" ca="1" si="21"/>
        <v>4.3414850989811924E-5</v>
      </c>
      <c r="O26">
        <f t="shared" ca="1" si="21"/>
        <v>1.1138041244852399E-4</v>
      </c>
      <c r="P26">
        <f t="shared" ca="1" si="21"/>
        <v>2.8603789900236468E-4</v>
      </c>
      <c r="Q26">
        <f t="shared" ca="1" si="21"/>
        <v>7.4756246368512004E-4</v>
      </c>
      <c r="R26">
        <f t="shared" ca="1" si="21"/>
        <v>2.3609282305794149E-3</v>
      </c>
      <c r="S26">
        <f t="shared" ca="1" si="21"/>
        <v>1.3395244687638665E-2</v>
      </c>
      <c r="T26">
        <f t="shared" ca="1" si="21"/>
        <v>6.0531152232354314E-2</v>
      </c>
      <c r="U26">
        <f t="shared" ca="1" si="21"/>
        <v>0.1576292489380402</v>
      </c>
      <c r="V26">
        <f t="shared" ca="1" si="21"/>
        <v>0.32074550495903004</v>
      </c>
      <c r="W26">
        <f t="shared" ca="1" si="21"/>
        <v>0.5253174092601447</v>
      </c>
      <c r="X26">
        <f t="shared" ca="1" si="21"/>
        <v>0.69769309320731143</v>
      </c>
      <c r="Y26">
        <f t="shared" ca="1" si="21"/>
        <v>0.8001177701123221</v>
      </c>
      <c r="Z26">
        <f t="shared" ca="1" si="21"/>
        <v>0.84821633860947188</v>
      </c>
      <c r="AA26">
        <f t="shared" ca="1" si="21"/>
        <v>0.86855848925579648</v>
      </c>
      <c r="AB26">
        <f t="shared" ca="1" si="21"/>
        <v>0.87674843489022136</v>
      </c>
      <c r="AC26">
        <f t="shared" ca="1" si="21"/>
        <v>0.87997761177121625</v>
      </c>
      <c r="AD26">
        <f t="shared" ca="1" si="21"/>
        <v>0.88123778313719314</v>
      </c>
      <c r="AE26">
        <f t="shared" ca="1" si="21"/>
        <v>0.88172503139157954</v>
      </c>
      <c r="AF26">
        <f t="shared" ca="1" si="21"/>
        <v>0.88191018406999366</v>
      </c>
      <c r="AG26">
        <f t="shared" ca="1" si="21"/>
        <v>0.88197746237868369</v>
      </c>
      <c r="AH26">
        <f t="shared" ca="1" si="21"/>
        <v>0.88199877752584543</v>
      </c>
      <c r="AI26">
        <f t="shared" ca="1" si="21"/>
        <v>0.88200217462130448</v>
      </c>
      <c r="AM26" s="43"/>
    </row>
    <row r="27" spans="1:39">
      <c r="A27" t="s">
        <v>14</v>
      </c>
      <c r="B27" s="27">
        <f ca="1">fbar*C27+hh</f>
        <v>8.4852021431421468E-2</v>
      </c>
      <c r="C27" s="35">
        <f ca="1">CHOOSE(C$25,E36,E39,1)</f>
        <v>1.8733132708564475</v>
      </c>
      <c r="E27" s="41">
        <f ca="1">f1_/(F4/(f1_*365*re*phib))</f>
        <v>127.47432046033498</v>
      </c>
      <c r="F27" s="106">
        <f ca="1">F4/E27</f>
        <v>2.0273894254909151E-4</v>
      </c>
      <c r="J27" s="8" t="s">
        <v>31</v>
      </c>
      <c r="K27">
        <f t="shared" ref="K27:AI27" ca="1" si="22">qa2_/wa</f>
        <v>5.1931687142175685E-3</v>
      </c>
      <c r="L27">
        <f t="shared" ca="1" si="22"/>
        <v>6.699849999066064E-2</v>
      </c>
      <c r="M27">
        <f t="shared" ca="1" si="22"/>
        <v>0.45671651295955601</v>
      </c>
      <c r="N27">
        <f t="shared" ca="1" si="22"/>
        <v>0.73070214522463905</v>
      </c>
      <c r="O27">
        <f t="shared" ca="1" si="22"/>
        <v>0.70582036296418149</v>
      </c>
      <c r="P27">
        <f t="shared" ca="1" si="22"/>
        <v>0.65038080925392439</v>
      </c>
      <c r="Q27">
        <f t="shared" ca="1" si="22"/>
        <v>0.59727242332957509</v>
      </c>
      <c r="R27">
        <f t="shared" ca="1" si="22"/>
        <v>0.54809213449625138</v>
      </c>
      <c r="S27">
        <f t="shared" ca="1" si="22"/>
        <v>0.50139184858805597</v>
      </c>
      <c r="T27">
        <f t="shared" ca="1" si="22"/>
        <v>0.45738664482828578</v>
      </c>
      <c r="U27">
        <f t="shared" ca="1" si="22"/>
        <v>0.41785633367169539</v>
      </c>
      <c r="V27">
        <f t="shared" ca="1" si="22"/>
        <v>0.38102280633439817</v>
      </c>
      <c r="W27">
        <f t="shared" ca="1" si="22"/>
        <v>0.34675904904517357</v>
      </c>
      <c r="X27">
        <f t="shared" ca="1" si="22"/>
        <v>0.31598527346838773</v>
      </c>
      <c r="Y27">
        <f t="shared" ca="1" si="22"/>
        <v>0.28884723423623493</v>
      </c>
      <c r="Z27">
        <f t="shared" ca="1" si="22"/>
        <v>0.28818424208320159</v>
      </c>
      <c r="AA27">
        <f t="shared" ca="1" si="22"/>
        <v>0.28790354056477396</v>
      </c>
      <c r="AB27">
        <f t="shared" ca="1" si="22"/>
        <v>0.28779047610633074</v>
      </c>
      <c r="AC27">
        <f t="shared" ca="1" si="22"/>
        <v>0.28774588831736703</v>
      </c>
      <c r="AD27">
        <f t="shared" ca="1" si="22"/>
        <v>0.28772848689339664</v>
      </c>
      <c r="AE27">
        <f t="shared" ca="1" si="22"/>
        <v>0.28772175840400083</v>
      </c>
      <c r="AF27">
        <f t="shared" ca="1" si="22"/>
        <v>0.28771920157351782</v>
      </c>
      <c r="AG27">
        <f t="shared" ca="1" si="22"/>
        <v>0.28771827250284826</v>
      </c>
      <c r="AH27">
        <f t="shared" ca="1" si="22"/>
        <v>0.28771797815380173</v>
      </c>
      <c r="AI27">
        <f t="shared" ca="1" si="22"/>
        <v>0.28771793124198852</v>
      </c>
    </row>
    <row r="28" spans="1:39">
      <c r="A28" t="s">
        <v>15</v>
      </c>
      <c r="B28" s="27">
        <f ca="1">fbar*C28</f>
        <v>2.8830930968350741E-2</v>
      </c>
      <c r="C28" s="35">
        <f ca="1">CHOOSE(C$25,E37,E40,1)</f>
        <v>0.63651992260115797</v>
      </c>
      <c r="E28" s="41">
        <f ca="1">f2_/(F5/(f2_*365*re*phib))</f>
        <v>39.461917558212178</v>
      </c>
      <c r="F28" s="106">
        <f t="shared" ref="F28:F29" ca="1" si="23">F5/E28</f>
        <v>2.4424133473274773E-4</v>
      </c>
      <c r="J28" s="8" t="s">
        <v>32</v>
      </c>
      <c r="K28">
        <f t="shared" ref="K28:AI28" ca="1" si="24">qa3_/wa</f>
        <v>2.0902009519738317E-5</v>
      </c>
      <c r="L28">
        <f t="shared" ca="1" si="24"/>
        <v>7.479831665967866E-5</v>
      </c>
      <c r="M28">
        <f t="shared" ca="1" si="24"/>
        <v>2.6571843727450027E-4</v>
      </c>
      <c r="N28">
        <f t="shared" ca="1" si="24"/>
        <v>9.3702177026571277E-4</v>
      </c>
      <c r="O28">
        <f t="shared" ca="1" si="24"/>
        <v>3.206431520841331E-3</v>
      </c>
      <c r="P28">
        <f t="shared" ca="1" si="24"/>
        <v>9.7877559966659099E-3</v>
      </c>
      <c r="Q28">
        <f t="shared" ca="1" si="24"/>
        <v>2.4067167329710822E-2</v>
      </c>
      <c r="R28">
        <f t="shared" ca="1" si="24"/>
        <v>7.3567529438116702E-2</v>
      </c>
      <c r="S28">
        <f t="shared" ca="1" si="24"/>
        <v>0.34605948911277851</v>
      </c>
      <c r="T28">
        <f t="shared" ca="1" si="24"/>
        <v>0.70967933235708536</v>
      </c>
      <c r="U28">
        <f t="shared" ca="1" si="24"/>
        <v>0.75071758968794278</v>
      </c>
      <c r="V28">
        <f t="shared" ca="1" si="24"/>
        <v>0.68796512595596215</v>
      </c>
      <c r="W28">
        <f t="shared" ca="1" si="24"/>
        <v>0.61582610144791272</v>
      </c>
      <c r="X28">
        <f t="shared" ca="1" si="24"/>
        <v>0.55003036009284556</v>
      </c>
      <c r="Y28">
        <f t="shared" ca="1" si="24"/>
        <v>0.49248756335572152</v>
      </c>
      <c r="Z28">
        <f t="shared" ca="1" si="24"/>
        <v>0.49135715478236364</v>
      </c>
      <c r="AA28">
        <f t="shared" ca="1" si="24"/>
        <v>0.49087855574988115</v>
      </c>
      <c r="AB28">
        <f t="shared" ca="1" si="24"/>
        <v>0.49068577966259042</v>
      </c>
      <c r="AC28">
        <f t="shared" ca="1" si="24"/>
        <v>0.4906097570148395</v>
      </c>
      <c r="AD28">
        <f t="shared" ca="1" si="24"/>
        <v>0.49058008740449072</v>
      </c>
      <c r="AE28">
        <f t="shared" ca="1" si="24"/>
        <v>0.49056861525951295</v>
      </c>
      <c r="AF28">
        <f t="shared" ca="1" si="24"/>
        <v>0.49056425583672736</v>
      </c>
      <c r="AG28">
        <f t="shared" ca="1" si="24"/>
        <v>0.4905626717614931</v>
      </c>
      <c r="AH28">
        <f t="shared" ca="1" si="24"/>
        <v>0.49056216989328205</v>
      </c>
      <c r="AI28">
        <f t="shared" ca="1" si="24"/>
        <v>0.49056208990814859</v>
      </c>
    </row>
    <row r="29" spans="1:39">
      <c r="A29" t="s">
        <v>19</v>
      </c>
      <c r="B29" s="27">
        <f ca="1">fbar*C29</f>
        <v>2.2201921511977193E-2</v>
      </c>
      <c r="C29" s="35">
        <f ca="1">CHOOSE(C$25,E38,E41,1)</f>
        <v>0.49016680654239458</v>
      </c>
      <c r="E29" s="41">
        <f ca="1">f3_/(F6/(f3_*365*re*phib))</f>
        <v>30.775675626432978</v>
      </c>
      <c r="F29" s="106">
        <f t="shared" ca="1" si="23"/>
        <v>2.3813549652385406E-4</v>
      </c>
    </row>
    <row r="30" spans="1:39">
      <c r="A30" t="s">
        <v>94</v>
      </c>
      <c r="B30" s="27">
        <v>4.52946246372498E-2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0.13588487391174939</v>
      </c>
      <c r="G31">
        <f ca="1">SUMPRODUCT(dlz1_,wa,ma)</f>
        <v>-74.842393701569833</v>
      </c>
      <c r="H31">
        <f ca="1">Ro/(reck-1)*phie/phif^2*dphif</f>
        <v>-1.8201967658085794E-2</v>
      </c>
      <c r="J31" s="8" t="s">
        <v>52</v>
      </c>
      <c r="K31">
        <v>0</v>
      </c>
      <c r="L31">
        <f ca="1">K31*K$10-K$7*K18*K$10</f>
        <v>-2.4099307273114144E-6</v>
      </c>
      <c r="M31">
        <f t="shared" ref="M31:AH33" ca="1" si="25">L31*L$10-L$7*L18*L$10</f>
        <v>-7.380345701723804E-6</v>
      </c>
      <c r="N31">
        <f t="shared" ca="1" si="25"/>
        <v>-1.7821607482046347E-5</v>
      </c>
      <c r="O31">
        <f t="shared" ca="1" si="25"/>
        <v>-3.9932526921572221E-5</v>
      </c>
      <c r="P31">
        <f t="shared" ca="1" si="25"/>
        <v>-8.7458469268582978E-5</v>
      </c>
      <c r="Q31">
        <f t="shared" ca="1" si="25"/>
        <v>-1.9023103257798649E-4</v>
      </c>
      <c r="R31">
        <f t="shared" ca="1" si="25"/>
        <v>-4.1745416310920018E-4</v>
      </c>
      <c r="S31">
        <f t="shared" ca="1" si="25"/>
        <v>-1.0373775928707992E-3</v>
      </c>
      <c r="T31">
        <f t="shared" ca="1" si="25"/>
        <v>-4.1411649209052923E-3</v>
      </c>
      <c r="U31">
        <f t="shared" ca="1" si="25"/>
        <v>-1.5759386634706527E-2</v>
      </c>
      <c r="V31">
        <f t="shared" ca="1" si="25"/>
        <v>-3.9439965044401872E-2</v>
      </c>
      <c r="W31">
        <f t="shared" ca="1" si="25"/>
        <v>-7.5991028476898967E-2</v>
      </c>
      <c r="X31">
        <f t="shared" ca="1" si="25"/>
        <v>-0.11854540399012869</v>
      </c>
      <c r="Y31">
        <f t="shared" ca="1" si="25"/>
        <v>-0.15411197164090756</v>
      </c>
      <c r="Z31">
        <f t="shared" ca="1" si="25"/>
        <v>-0.17490869632095629</v>
      </c>
      <c r="AA31">
        <f t="shared" ca="1" si="25"/>
        <v>-0.18089793205489005</v>
      </c>
      <c r="AB31">
        <f t="shared" ca="1" si="25"/>
        <v>-0.17597081078408625</v>
      </c>
      <c r="AC31">
        <f t="shared" ca="1" si="25"/>
        <v>-0.1642205495737866</v>
      </c>
      <c r="AD31">
        <f t="shared" ca="1" si="25"/>
        <v>-0.14883308871818429</v>
      </c>
      <c r="AE31">
        <f t="shared" ca="1" si="25"/>
        <v>-0.1320141057556227</v>
      </c>
      <c r="AF31">
        <f t="shared" ca="1" si="25"/>
        <v>-0.11518839182811584</v>
      </c>
      <c r="AG31">
        <f t="shared" ca="1" si="25"/>
        <v>-9.9217565129233742E-2</v>
      </c>
      <c r="AH31">
        <f t="shared" ca="1" si="25"/>
        <v>-8.4575799879880828E-2</v>
      </c>
      <c r="AI31">
        <f ca="1">(AH31*sa-AH$7*AH18*AH$10)/oa-AH$7*AH$10*flt1_*sa/oa^2</f>
        <v>-0.407132143598741</v>
      </c>
    </row>
    <row r="32" spans="1:39">
      <c r="A32" s="11" t="s">
        <v>22</v>
      </c>
      <c r="B32" s="11"/>
      <c r="C32" s="11"/>
      <c r="G32">
        <f ca="1">SUMPRODUCT(dlz2_,wa,ma)</f>
        <v>-137.20916781637325</v>
      </c>
      <c r="H32">
        <f ca="1">Ro/(reck-1)*phie/phif^2*dphif</f>
        <v>-3.3369815040190348E-2</v>
      </c>
      <c r="J32" s="8" t="s">
        <v>53</v>
      </c>
      <c r="K32">
        <v>0</v>
      </c>
      <c r="L32">
        <f t="shared" ref="L32:AA33" ca="1" si="26">K32*K$10-K$7*K19*K$10</f>
        <v>-4.8130150233567778E-3</v>
      </c>
      <c r="M32">
        <f t="shared" ca="1" si="26"/>
        <v>-5.7517509161519965E-2</v>
      </c>
      <c r="N32">
        <f t="shared" ca="1" si="26"/>
        <v>-0.35941677228811214</v>
      </c>
      <c r="O32">
        <f t="shared" ca="1" si="26"/>
        <v>-0.72211350792364137</v>
      </c>
      <c r="P32">
        <f t="shared" ca="1" si="26"/>
        <v>-0.94907050177926799</v>
      </c>
      <c r="Q32">
        <f t="shared" ca="1" si="26"/>
        <v>-1.0650487890680813</v>
      </c>
      <c r="R32">
        <f t="shared" ca="1" si="26"/>
        <v>-1.1043333803910582</v>
      </c>
      <c r="S32">
        <f t="shared" ca="1" si="26"/>
        <v>-1.0914601849915444</v>
      </c>
      <c r="T32">
        <f t="shared" ca="1" si="26"/>
        <v>-1.0383121414781789</v>
      </c>
      <c r="U32">
        <f t="shared" ca="1" si="26"/>
        <v>-0.95403787618008884</v>
      </c>
      <c r="V32">
        <f t="shared" ca="1" si="26"/>
        <v>-0.85417306055499487</v>
      </c>
      <c r="W32">
        <f t="shared" ca="1" si="26"/>
        <v>-0.74515455567052979</v>
      </c>
      <c r="X32">
        <f t="shared" ca="1" si="26"/>
        <v>-0.63251835153366665</v>
      </c>
      <c r="Y32">
        <f t="shared" ca="1" si="26"/>
        <v>-0.5248485312307074</v>
      </c>
      <c r="Z32">
        <f t="shared" ca="1" si="26"/>
        <v>-0.42914197022751505</v>
      </c>
      <c r="AA32">
        <f t="shared" ca="1" si="26"/>
        <v>-0.3484693541499973</v>
      </c>
      <c r="AB32">
        <f t="shared" ca="1" si="25"/>
        <v>-0.2818403385376772</v>
      </c>
      <c r="AC32">
        <f t="shared" ca="1" si="25"/>
        <v>-0.22735978293889622</v>
      </c>
      <c r="AD32">
        <f t="shared" ca="1" si="25"/>
        <v>-0.18305138961893563</v>
      </c>
      <c r="AE32">
        <f t="shared" ca="1" si="25"/>
        <v>-0.14713676467845374</v>
      </c>
      <c r="AF32">
        <f t="shared" ca="1" si="25"/>
        <v>-0.11809731805127417</v>
      </c>
      <c r="AG32">
        <f t="shared" ca="1" si="25"/>
        <v>-9.4664201549672006E-2</v>
      </c>
      <c r="AH32">
        <f t="shared" ca="1" si="25"/>
        <v>-7.5788310791999047E-2</v>
      </c>
      <c r="AI32">
        <f ca="1">(AH32*sa-AH$7*AH19*AH$10)/oa-AH$7*AH$10*flt2_*sa/oa^2</f>
        <v>-0.29757320892296812</v>
      </c>
    </row>
    <row r="33" spans="1:35">
      <c r="A33" s="58" t="s">
        <v>127</v>
      </c>
      <c r="B33" s="59">
        <f ca="1">SUMPRODUCT(lz,wa)</f>
        <v>38.344083704234286</v>
      </c>
      <c r="C33" s="58"/>
      <c r="D33" s="60"/>
      <c r="E33" s="60"/>
      <c r="G33">
        <f ca="1">SUMPRODUCT(dlz3_,wa,ma)</f>
        <v>-91.972434258926711</v>
      </c>
      <c r="H33">
        <f ca="1">Ro/(reck-1)*phie/phif^2*dphif</f>
        <v>-2.236806161614379E-2</v>
      </c>
      <c r="J33" s="8" t="s">
        <v>54</v>
      </c>
      <c r="K33">
        <v>0</v>
      </c>
      <c r="L33">
        <f t="shared" ca="1" si="26"/>
        <v>-1.9371927116757285E-5</v>
      </c>
      <c r="M33">
        <f t="shared" ca="1" si="25"/>
        <v>-7.6237178348022164E-5</v>
      </c>
      <c r="N33">
        <f t="shared" ca="1" si="25"/>
        <v>-2.4540245275044557E-4</v>
      </c>
      <c r="O33">
        <f t="shared" ca="1" si="25"/>
        <v>-7.44738325247766E-4</v>
      </c>
      <c r="P33">
        <f t="shared" ca="1" si="25"/>
        <v>-2.1769758946160031E-3</v>
      </c>
      <c r="Q33">
        <f t="shared" ca="1" si="25"/>
        <v>-5.8216655164870894E-3</v>
      </c>
      <c r="R33">
        <f t="shared" ca="1" si="25"/>
        <v>-1.3184086519365094E-2</v>
      </c>
      <c r="S33">
        <f t="shared" ca="1" si="25"/>
        <v>-3.2473767317914813E-2</v>
      </c>
      <c r="T33">
        <f t="shared" ca="1" si="25"/>
        <v>-0.11174591803265006</v>
      </c>
      <c r="U33">
        <f t="shared" ca="1" si="25"/>
        <v>-0.23716264748159882</v>
      </c>
      <c r="V33">
        <f t="shared" ca="1" si="25"/>
        <v>-0.32104186641013044</v>
      </c>
      <c r="W33">
        <f t="shared" ca="1" si="25"/>
        <v>-0.35479399035832915</v>
      </c>
      <c r="X33">
        <f t="shared" ca="1" si="25"/>
        <v>-0.35087772102579645</v>
      </c>
      <c r="Y33">
        <f t="shared" ca="1" si="25"/>
        <v>-0.32386926750544437</v>
      </c>
      <c r="Z33">
        <f t="shared" ca="1" si="25"/>
        <v>-0.28629389656638271</v>
      </c>
      <c r="AA33">
        <f t="shared" ca="1" si="25"/>
        <v>-0.24838407042009061</v>
      </c>
      <c r="AB33">
        <f t="shared" ca="1" si="25"/>
        <v>-0.21267492263585</v>
      </c>
      <c r="AC33">
        <f t="shared" ca="1" si="25"/>
        <v>-0.18030098305626668</v>
      </c>
      <c r="AD33">
        <f t="shared" ca="1" si="25"/>
        <v>-0.15165092323280077</v>
      </c>
      <c r="AE33">
        <f t="shared" ca="1" si="25"/>
        <v>-0.12672151806900719</v>
      </c>
      <c r="AF33">
        <f t="shared" ca="1" si="25"/>
        <v>-0.10530433045154877</v>
      </c>
      <c r="AG33">
        <f t="shared" ca="1" si="25"/>
        <v>-8.7089247798048469E-2</v>
      </c>
      <c r="AH33">
        <f t="shared" ca="1" si="25"/>
        <v>-7.1724796248663306E-2</v>
      </c>
      <c r="AI33">
        <f ca="1">(AH33*sa-AH$7*AH20*AH$10)/oa-AH$7*AH$10*flt3_*sa/oa^2</f>
        <v>-0.31082467502649114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19.333849020675494</v>
      </c>
      <c r="F35" s="36"/>
      <c r="G35" s="1">
        <f ca="1">SUM(dqa11_)</f>
        <v>385.2745246857346</v>
      </c>
      <c r="H35" s="1">
        <f ca="1">SUM(dqa12_)</f>
        <v>388.77531406673825</v>
      </c>
      <c r="I35" s="10">
        <f ca="1">SUM(dqa13_)</f>
        <v>387.01007208273222</v>
      </c>
      <c r="J35" s="8" t="s">
        <v>62</v>
      </c>
      <c r="K35">
        <f ca="1">dlz1_*qa1_+lz*wa*flt1_^2/za*(sa-oa/za)</f>
        <v>-2.8608397351508953E-13</v>
      </c>
      <c r="L35">
        <f t="shared" ref="L35:AI35" ca="1" si="27">flt1_*qa1_+lz*wa*flt1_^2/za*(sa-oa/za)</f>
        <v>9.5535690230567313E-12</v>
      </c>
      <c r="M35">
        <f t="shared" ca="1" si="27"/>
        <v>1.7509146816144054E-10</v>
      </c>
      <c r="N35">
        <f t="shared" ca="1" si="27"/>
        <v>2.4413732928991169E-9</v>
      </c>
      <c r="O35">
        <f t="shared" ca="1" si="27"/>
        <v>2.8826524479757236E-8</v>
      </c>
      <c r="P35">
        <f t="shared" ca="1" si="27"/>
        <v>3.0309002412513411E-7</v>
      </c>
      <c r="Q35">
        <f t="shared" ca="1" si="27"/>
        <v>3.0336439575356494E-6</v>
      </c>
      <c r="R35">
        <f t="shared" ca="1" si="27"/>
        <v>4.1649090621932857E-5</v>
      </c>
      <c r="S35">
        <f t="shared" ca="1" si="27"/>
        <v>1.7635673555736779E-3</v>
      </c>
      <c r="T35">
        <f t="shared" ca="1" si="27"/>
        <v>4.5739891083608986E-2</v>
      </c>
      <c r="U35">
        <f t="shared" ca="1" si="27"/>
        <v>0.38156557198569352</v>
      </c>
      <c r="V35">
        <f t="shared" ca="1" si="27"/>
        <v>1.8978003962946464</v>
      </c>
      <c r="W35">
        <f t="shared" ca="1" si="27"/>
        <v>5.9974199531375314</v>
      </c>
      <c r="X35">
        <f t="shared" ca="1" si="27"/>
        <v>12.223169994978804</v>
      </c>
      <c r="Y35">
        <f t="shared" ca="1" si="27"/>
        <v>18.22381535463262</v>
      </c>
      <c r="Z35">
        <f t="shared" ca="1" si="27"/>
        <v>22.86379938663217</v>
      </c>
      <c r="AA35">
        <f t="shared" ca="1" si="27"/>
        <v>26.407917400483168</v>
      </c>
      <c r="AB35">
        <f t="shared" ca="1" si="27"/>
        <v>29.316313472708082</v>
      </c>
      <c r="AC35">
        <f t="shared" ca="1" si="27"/>
        <v>31.879018569033768</v>
      </c>
      <c r="AD35">
        <f t="shared" ca="1" si="27"/>
        <v>34.237647595548985</v>
      </c>
      <c r="AE35">
        <f t="shared" ca="1" si="27"/>
        <v>36.45432336976986</v>
      </c>
      <c r="AF35">
        <f t="shared" ca="1" si="27"/>
        <v>38.554752351718342</v>
      </c>
      <c r="AG35">
        <f t="shared" ca="1" si="27"/>
        <v>40.549304115156289</v>
      </c>
      <c r="AH35">
        <f t="shared" ca="1" si="27"/>
        <v>42.442412174357599</v>
      </c>
      <c r="AI35">
        <f t="shared" ca="1" si="27"/>
        <v>43.797716503581015</v>
      </c>
    </row>
    <row r="36" spans="1:35">
      <c r="A36" t="s">
        <v>33</v>
      </c>
      <c r="B36" s="1">
        <f ca="1">SUMPRODUCT(lz,ta1_)</f>
        <v>0.52641872176137672</v>
      </c>
      <c r="C36" s="28">
        <f ca="1">B11/(phi_t1/SUM(B$36:B$38))</f>
        <v>2.4178082423605667</v>
      </c>
      <c r="E36" s="37">
        <f ca="1">C36/AVERAGE(C$36:C$38)</f>
        <v>1.8733132179304632</v>
      </c>
      <c r="G36" s="1">
        <f ca="1">SUM(dqa21_)</f>
        <v>388.77531406673825</v>
      </c>
      <c r="H36" s="1">
        <f ca="1">SUM(dqa22_)</f>
        <v>62.897748080945462</v>
      </c>
      <c r="I36" s="10">
        <f ca="1">SUM(dqa23_)</f>
        <v>388.12168279488168</v>
      </c>
      <c r="J36" s="8" t="s">
        <v>63</v>
      </c>
      <c r="K36">
        <f ca="1">dlz2_*qa2_+lz*wa*flt2_^2/za*(sa-oa/za)</f>
        <v>-1.1410872311148468E-6</v>
      </c>
      <c r="L36">
        <f t="shared" ref="K36:AI36" ca="1" si="28">flt2_*qa2_+lz*wa*flt2_^2/za*(sa-oa/za)</f>
        <v>9.65434451159343E-4</v>
      </c>
      <c r="M36">
        <f t="shared" ca="1" si="28"/>
        <v>0.12642553181880678</v>
      </c>
      <c r="N36">
        <f t="shared" ca="1" si="28"/>
        <v>0.69157346994041147</v>
      </c>
      <c r="O36">
        <f t="shared" ca="1" si="28"/>
        <v>1.157611967147995</v>
      </c>
      <c r="P36">
        <f t="shared" ca="1" si="28"/>
        <v>1.5669672496370199</v>
      </c>
      <c r="Q36">
        <f t="shared" ca="1" si="28"/>
        <v>1.9364868944874722</v>
      </c>
      <c r="R36">
        <f t="shared" ca="1" si="28"/>
        <v>2.2446420382048577</v>
      </c>
      <c r="S36">
        <f t="shared" ca="1" si="28"/>
        <v>2.4708437759051485</v>
      </c>
      <c r="T36">
        <f t="shared" ca="1" si="28"/>
        <v>2.6115852274658895</v>
      </c>
      <c r="U36">
        <f t="shared" ca="1" si="28"/>
        <v>2.681325561458312</v>
      </c>
      <c r="V36">
        <f t="shared" ca="1" si="28"/>
        <v>2.6781279273321541</v>
      </c>
      <c r="W36">
        <f t="shared" ca="1" si="28"/>
        <v>2.6132230438454944</v>
      </c>
      <c r="X36">
        <f t="shared" ca="1" si="28"/>
        <v>2.5071983300386624</v>
      </c>
      <c r="Y36">
        <f t="shared" ca="1" si="28"/>
        <v>2.3750234471140423</v>
      </c>
      <c r="Z36">
        <f t="shared" ca="1" si="28"/>
        <v>2.6392199973940098</v>
      </c>
      <c r="AA36">
        <f t="shared" ca="1" si="28"/>
        <v>2.901549778111963</v>
      </c>
      <c r="AB36">
        <f t="shared" ca="1" si="28"/>
        <v>3.158727734333787</v>
      </c>
      <c r="AC36">
        <f t="shared" ca="1" si="28"/>
        <v>3.4086306889867917</v>
      </c>
      <c r="AD36">
        <f t="shared" ca="1" si="28"/>
        <v>3.6499206473585661</v>
      </c>
      <c r="AE36">
        <f t="shared" ca="1" si="28"/>
        <v>3.8817549270105376</v>
      </c>
      <c r="AF36">
        <f t="shared" ca="1" si="28"/>
        <v>4.1036177085073406</v>
      </c>
      <c r="AG36">
        <f t="shared" ca="1" si="28"/>
        <v>4.3152237422608488</v>
      </c>
      <c r="AH36">
        <f t="shared" ca="1" si="28"/>
        <v>4.516459205044618</v>
      </c>
      <c r="AI36">
        <f t="shared" ca="1" si="28"/>
        <v>4.6606448941767997</v>
      </c>
    </row>
    <row r="37" spans="1:35">
      <c r="A37" t="s">
        <v>34</v>
      </c>
      <c r="B37" s="1">
        <f ca="1">SUMPRODUCT(lz,ta2_)</f>
        <v>2.4625425317358891</v>
      </c>
      <c r="C37" s="28">
        <f ca="1">B12/(phi_t2/SUM(B$36:B$38))</f>
        <v>0.82153012880450871</v>
      </c>
      <c r="E37" s="37">
        <f ca="1">C37/AVERAGE(C$36:C$38)</f>
        <v>0.63651997799256999</v>
      </c>
      <c r="G37" s="1">
        <f ca="1">SUM(dqa31_)</f>
        <v>387.01007208273222</v>
      </c>
      <c r="H37" s="1">
        <f ca="1">SUM(dqa32_)</f>
        <v>388.12168279488168</v>
      </c>
      <c r="I37" s="1">
        <f ca="1">SUM(dqa33_)</f>
        <v>155.883634823839</v>
      </c>
      <c r="J37" s="8" t="s">
        <v>64</v>
      </c>
      <c r="K37">
        <f ca="1">dlz3_*qa3_+lz*wa*flt3_^2/za*(sa-oa/za)</f>
        <v>-1.8485451557887479E-11</v>
      </c>
      <c r="L37">
        <f t="shared" ref="K37:AI37" ca="1" si="29">flt3_*qa3_+lz*wa*flt3_^2/za*(sa-oa/za)</f>
        <v>1.203306552598969E-9</v>
      </c>
      <c r="M37">
        <f t="shared" ca="1" si="29"/>
        <v>4.2794183062128234E-8</v>
      </c>
      <c r="N37">
        <f t="shared" ca="1" si="29"/>
        <v>1.1372525575457313E-6</v>
      </c>
      <c r="O37">
        <f t="shared" ca="1" si="29"/>
        <v>2.3890133626708169E-5</v>
      </c>
      <c r="P37">
        <f t="shared" ca="1" si="29"/>
        <v>3.5488753998326027E-4</v>
      </c>
      <c r="Q37">
        <f t="shared" ca="1" si="29"/>
        <v>3.1442682497321117E-3</v>
      </c>
      <c r="R37">
        <f t="shared" ca="1" si="29"/>
        <v>4.044010702391964E-2</v>
      </c>
      <c r="S37">
        <f t="shared" ca="1" si="29"/>
        <v>1.1770428499227681</v>
      </c>
      <c r="T37">
        <f t="shared" ca="1" si="29"/>
        <v>6.2872620161936172</v>
      </c>
      <c r="U37">
        <f t="shared" ca="1" si="29"/>
        <v>8.6546349277769661</v>
      </c>
      <c r="V37">
        <f t="shared" ca="1" si="29"/>
        <v>8.7309645114259933</v>
      </c>
      <c r="W37">
        <f t="shared" ca="1" si="29"/>
        <v>8.2420843964782939</v>
      </c>
      <c r="X37">
        <f t="shared" ca="1" si="29"/>
        <v>7.5967586370410896</v>
      </c>
      <c r="Y37">
        <f t="shared" ca="1" si="29"/>
        <v>6.9043374646074032</v>
      </c>
      <c r="Z37">
        <f t="shared" ca="1" si="29"/>
        <v>7.6723728885669145</v>
      </c>
      <c r="AA37">
        <f t="shared" ca="1" si="29"/>
        <v>8.4349814999867547</v>
      </c>
      <c r="AB37">
        <f t="shared" ca="1" si="29"/>
        <v>9.1826134445770879</v>
      </c>
      <c r="AC37">
        <f t="shared" ca="1" si="29"/>
        <v>9.9090965175856613</v>
      </c>
      <c r="AD37">
        <f t="shared" ca="1" si="29"/>
        <v>10.610541087088391</v>
      </c>
      <c r="AE37">
        <f t="shared" ca="1" si="29"/>
        <v>11.28449742403588</v>
      </c>
      <c r="AF37">
        <f t="shared" ca="1" si="29"/>
        <v>11.929466009988889</v>
      </c>
      <c r="AG37">
        <f t="shared" ca="1" si="29"/>
        <v>12.544617607063275</v>
      </c>
      <c r="AH37">
        <f t="shared" ca="1" si="29"/>
        <v>13.129621324224001</v>
      </c>
      <c r="AI37">
        <f t="shared" ca="1" si="29"/>
        <v>13.548777883097229</v>
      </c>
    </row>
    <row r="38" spans="1:35">
      <c r="A38" t="s">
        <v>35</v>
      </c>
      <c r="B38" s="1">
        <f ca="1">SUMPRODUCT(lz,ta3_)</f>
        <v>0.8353374831599657</v>
      </c>
      <c r="C38" s="28">
        <f ca="1">B13/(phi_t3/SUM(B$36:B$38))</f>
        <v>0.63263811288220928</v>
      </c>
      <c r="E38" s="37">
        <f ca="1">C38/AVERAGE(C$36:C$38)</f>
        <v>0.49016680407696672</v>
      </c>
      <c r="G38" t="s">
        <v>69</v>
      </c>
      <c r="J38" s="8" t="s">
        <v>60</v>
      </c>
      <c r="K38">
        <f ca="1">flt1_*qa1_+lz*wa*flt2_*flt1_/za*(sa-oa/za)</f>
        <v>-5.7076835454685433E-10</v>
      </c>
      <c r="L38">
        <f t="shared" ref="K38:AI38" ca="1" si="30">flt1_*qa1_+lz*wa*flt2_*flt1_/za*(sa-oa/za)</f>
        <v>-6.9352204606765908E-8</v>
      </c>
      <c r="M38">
        <f t="shared" ca="1" si="30"/>
        <v>-2.6400662964985505E-6</v>
      </c>
      <c r="N38">
        <f t="shared" ca="1" si="30"/>
        <v>-1.7990606835639924E-5</v>
      </c>
      <c r="O38">
        <f t="shared" ca="1" si="30"/>
        <v>-6.2886031501856903E-5</v>
      </c>
      <c r="P38">
        <f t="shared" ca="1" si="30"/>
        <v>-1.8917912117726751E-4</v>
      </c>
      <c r="Q38">
        <f t="shared" ca="1" si="30"/>
        <v>-5.3528689512179239E-4</v>
      </c>
      <c r="R38">
        <f t="shared" ca="1" si="30"/>
        <v>-1.7052423043792807E-3</v>
      </c>
      <c r="S38">
        <f t="shared" ca="1" si="30"/>
        <v>-7.7979760793800406E-3</v>
      </c>
      <c r="T38">
        <f t="shared" ca="1" si="30"/>
        <v>9.2496664997462549E-3</v>
      </c>
      <c r="U38">
        <f t="shared" ca="1" si="30"/>
        <v>0.31941222067829189</v>
      </c>
      <c r="V38">
        <f t="shared" ca="1" si="30"/>
        <v>1.8694517968264093</v>
      </c>
      <c r="W38">
        <f t="shared" ca="1" si="30"/>
        <v>6.1265134619787327</v>
      </c>
      <c r="X38">
        <f t="shared" ca="1" si="30"/>
        <v>12.555757873639868</v>
      </c>
      <c r="Y38">
        <f t="shared" ca="1" si="30"/>
        <v>18.673694377376677</v>
      </c>
      <c r="Z38">
        <f t="shared" ca="1" si="30"/>
        <v>23.314488165167042</v>
      </c>
      <c r="AA38">
        <f t="shared" ca="1" si="30"/>
        <v>26.814224212555565</v>
      </c>
      <c r="AB38">
        <f t="shared" ca="1" si="30"/>
        <v>29.66557717710787</v>
      </c>
      <c r="AC38">
        <f t="shared" ca="1" si="30"/>
        <v>32.172367729808883</v>
      </c>
      <c r="AD38">
        <f t="shared" ca="1" si="30"/>
        <v>34.480864335087603</v>
      </c>
      <c r="AE38">
        <f t="shared" ca="1" si="30"/>
        <v>36.65426895959331</v>
      </c>
      <c r="AF38">
        <f t="shared" ca="1" si="30"/>
        <v>38.718078462190448</v>
      </c>
      <c r="AG38">
        <f t="shared" ca="1" si="30"/>
        <v>40.682019549529009</v>
      </c>
      <c r="AH38">
        <f t="shared" ca="1" si="30"/>
        <v>42.54976778897354</v>
      </c>
      <c r="AI38">
        <f t="shared" ca="1" si="30"/>
        <v>44.179889560752919</v>
      </c>
    </row>
    <row r="39" spans="1:35">
      <c r="A39" s="1" t="s">
        <v>36</v>
      </c>
      <c r="B39" s="1">
        <f ca="1">SUMPRODUCT(lz,qa1_)</f>
        <v>14.72169981514371</v>
      </c>
      <c r="C39" s="22">
        <f ca="1">B4/(phi_q1/SUM(B$39:B$41))</f>
        <v>1.9205142863537019</v>
      </c>
      <c r="D39" s="20"/>
      <c r="E39" s="38">
        <f ca="1">C39/AVERAGE(C$39:C$41)</f>
        <v>1.8733132708564477</v>
      </c>
      <c r="G39" s="1">
        <f ca="1">re*phi_q1+f1_*phi_q1*$H31+f1_*re*G35</f>
        <v>0.95819125794834603</v>
      </c>
      <c r="H39" s="1">
        <f ca="1">0*re*phi_q1+f1_*phi_q1*$H32+f1_*re*H35</f>
        <v>0.64081233994225317</v>
      </c>
      <c r="I39" s="1">
        <f ca="1">0*re*phi_q1+f1_*phi_q1*$H33+f1_*re*I35</f>
        <v>0.65145646604463736</v>
      </c>
      <c r="J39" s="8" t="s">
        <v>66</v>
      </c>
      <c r="K39">
        <f t="shared" ref="K39:AI39" ca="1" si="31">flt1_*qa1_+lz*wa*flt3_*flt1_/za*(sa-oa/za)</f>
        <v>-1.7128007735404129E-12</v>
      </c>
      <c r="L39">
        <f t="shared" ca="1" si="31"/>
        <v>-6.0990268849971313E-11</v>
      </c>
      <c r="M39">
        <f t="shared" ca="1" si="31"/>
        <v>-1.2628030124283959E-9</v>
      </c>
      <c r="N39">
        <f t="shared" ca="1" si="31"/>
        <v>-1.9564402741754966E-8</v>
      </c>
      <c r="O39">
        <f t="shared" ca="1" si="31"/>
        <v>-2.4710123878137543E-7</v>
      </c>
      <c r="P39">
        <f t="shared" ca="1" si="31"/>
        <v>-2.4663624229468304E-6</v>
      </c>
      <c r="Q39">
        <f t="shared" ca="1" si="31"/>
        <v>-1.8010612679771743E-5</v>
      </c>
      <c r="R39">
        <f t="shared" ca="1" si="31"/>
        <v>-1.8628399711169129E-4</v>
      </c>
      <c r="S39">
        <f t="shared" ca="1" si="31"/>
        <v>-4.754477231015534E-3</v>
      </c>
      <c r="T39">
        <f t="shared" ca="1" si="31"/>
        <v>-1.3948240548413836E-2</v>
      </c>
      <c r="U39">
        <f t="shared" ca="1" si="31"/>
        <v>0.23991072450245923</v>
      </c>
      <c r="V39">
        <f t="shared" ca="1" si="31"/>
        <v>1.7250958837337398</v>
      </c>
      <c r="W39">
        <f t="shared" ca="1" si="31"/>
        <v>5.9319842903039319</v>
      </c>
      <c r="X39">
        <f t="shared" ca="1" si="31"/>
        <v>12.35183079945859</v>
      </c>
      <c r="Y39">
        <f t="shared" ca="1" si="31"/>
        <v>18.494506440996638</v>
      </c>
      <c r="Z39">
        <f t="shared" ca="1" si="31"/>
        <v>23.150983693863115</v>
      </c>
      <c r="AA39">
        <f t="shared" ca="1" si="31"/>
        <v>26.672194713735102</v>
      </c>
      <c r="AB39">
        <f t="shared" ca="1" si="31"/>
        <v>29.545256253910395</v>
      </c>
      <c r="AC39">
        <f t="shared" ca="1" si="31"/>
        <v>32.071883505007584</v>
      </c>
      <c r="AD39">
        <f t="shared" ca="1" si="31"/>
        <v>34.39773690102929</v>
      </c>
      <c r="AE39">
        <f t="shared" ca="1" si="31"/>
        <v>36.585989311513565</v>
      </c>
      <c r="AF39">
        <f t="shared" ca="1" si="31"/>
        <v>38.662322157033948</v>
      </c>
      <c r="AG39">
        <f t="shared" ca="1" si="31"/>
        <v>40.636718470443789</v>
      </c>
      <c r="AH39">
        <f t="shared" ca="1" si="31"/>
        <v>42.513124399352883</v>
      </c>
      <c r="AI39">
        <f t="shared" ca="1" si="31"/>
        <v>44.04944428458996</v>
      </c>
    </row>
    <row r="40" spans="1:35">
      <c r="A40" s="1" t="s">
        <v>37</v>
      </c>
      <c r="B40" s="1">
        <f ca="1">SUMPRODUCT(lz,qa2_)</f>
        <v>16.158422209266948</v>
      </c>
      <c r="C40" s="22">
        <f ca="1">B5/(phi_q2/SUM(B$39:B$41))</f>
        <v>0.65255802322128142</v>
      </c>
      <c r="D40" s="20"/>
      <c r="E40" s="38">
        <f ca="1">C40/AVERAGE(C$39:C$41)</f>
        <v>0.63651992260115797</v>
      </c>
      <c r="G40" s="1">
        <f ca="1">0*re*phi_q1+f1_*phi_q1*$H32+f1_*re*G36</f>
        <v>0.64081233994225317</v>
      </c>
      <c r="H40" s="1">
        <f ca="1">re*phi_q2+f2_*phi_q2*$H32+f2_*re*H36</f>
        <v>0.35627350072357683</v>
      </c>
      <c r="I40" s="1">
        <f ca="1">0*re*phi_q3+f3_*phi_q3*$H33+f3_*re*I36</f>
        <v>0.17035462345637994</v>
      </c>
      <c r="J40" s="8" t="s">
        <v>65</v>
      </c>
      <c r="K40">
        <f t="shared" ref="K40:AI40" ca="1" si="32">flt1_*qa1_+lz*wa*flt1_*flt2_/za*(sa-oa/za)</f>
        <v>-5.7076835454685433E-10</v>
      </c>
      <c r="L40">
        <f t="shared" ca="1" si="32"/>
        <v>-6.9352204606765908E-8</v>
      </c>
      <c r="M40">
        <f t="shared" ca="1" si="32"/>
        <v>-2.6400662964985514E-6</v>
      </c>
      <c r="N40">
        <f t="shared" ca="1" si="32"/>
        <v>-1.7990606835639924E-5</v>
      </c>
      <c r="O40">
        <f t="shared" ca="1" si="32"/>
        <v>-6.2886031501856889E-5</v>
      </c>
      <c r="P40">
        <f t="shared" ca="1" si="32"/>
        <v>-1.8917912117726751E-4</v>
      </c>
      <c r="Q40">
        <f t="shared" ca="1" si="32"/>
        <v>-5.3528689512179239E-4</v>
      </c>
      <c r="R40">
        <f t="shared" ca="1" si="32"/>
        <v>-1.7052423043792807E-3</v>
      </c>
      <c r="S40">
        <f t="shared" ca="1" si="32"/>
        <v>-7.7979760793800406E-3</v>
      </c>
      <c r="T40">
        <f t="shared" ca="1" si="32"/>
        <v>9.2496664997462549E-3</v>
      </c>
      <c r="U40">
        <f t="shared" ca="1" si="32"/>
        <v>0.31941222067829189</v>
      </c>
      <c r="V40">
        <f t="shared" ca="1" si="32"/>
        <v>1.8694517968264093</v>
      </c>
      <c r="W40">
        <f t="shared" ca="1" si="32"/>
        <v>6.1265134619787327</v>
      </c>
      <c r="X40">
        <f t="shared" ca="1" si="32"/>
        <v>12.555757873639866</v>
      </c>
      <c r="Y40">
        <f t="shared" ca="1" si="32"/>
        <v>18.673694377376677</v>
      </c>
      <c r="Z40">
        <f t="shared" ca="1" si="32"/>
        <v>23.314488165167042</v>
      </c>
      <c r="AA40">
        <f t="shared" ca="1" si="32"/>
        <v>26.814224212555565</v>
      </c>
      <c r="AB40">
        <f t="shared" ca="1" si="32"/>
        <v>29.66557717710787</v>
      </c>
      <c r="AC40">
        <f t="shared" ca="1" si="32"/>
        <v>32.172367729808883</v>
      </c>
      <c r="AD40">
        <f t="shared" ca="1" si="32"/>
        <v>34.480864335087603</v>
      </c>
      <c r="AE40">
        <f t="shared" ca="1" si="32"/>
        <v>36.65426895959331</v>
      </c>
      <c r="AF40">
        <f t="shared" ca="1" si="32"/>
        <v>38.718078462190448</v>
      </c>
      <c r="AG40">
        <f t="shared" ca="1" si="32"/>
        <v>40.682019549529009</v>
      </c>
      <c r="AH40">
        <f t="shared" ca="1" si="32"/>
        <v>42.54976778897354</v>
      </c>
      <c r="AI40">
        <f t="shared" ca="1" si="32"/>
        <v>44.179889560752919</v>
      </c>
    </row>
    <row r="41" spans="1:35">
      <c r="A41" s="1" t="s">
        <v>38</v>
      </c>
      <c r="B41" s="1">
        <f ca="1">SUMPRODUCT(lz,qa3_)</f>
        <v>15.955170062131266</v>
      </c>
      <c r="C41" s="22">
        <f ca="1">B6/(phi_q3/SUM(B$39:B$41))</f>
        <v>0.50251731480590012</v>
      </c>
      <c r="D41" s="20"/>
      <c r="E41" s="38">
        <f ca="1">C41/AVERAGE(C$39:C$41)</f>
        <v>0.49016680654239458</v>
      </c>
      <c r="G41" s="1">
        <f ca="1">0*re*phi_q1+f1_*phi_q1*$H33+f1_*re*G37</f>
        <v>0.65145646604463736</v>
      </c>
      <c r="H41" s="1">
        <f ca="1">0*re*phi_q3+f3_*phi_q3*$H33+f3_*re*H37</f>
        <v>0.17035462345637994</v>
      </c>
      <c r="I41" s="1">
        <f ca="1">re*phi_q3+f1_*phi_q3*$H33+f3_*re*I37</f>
        <v>0.37141710594348748</v>
      </c>
      <c r="J41" s="8" t="s">
        <v>67</v>
      </c>
      <c r="K41">
        <f t="shared" ref="K41:AI41" ca="1" si="33">flt1_*qa1_+lz*wa*flt3_*flt2_/za*(sa-oa/za)</f>
        <v>-4.5921805878944718E-9</v>
      </c>
      <c r="L41">
        <f t="shared" ca="1" si="33"/>
        <v>-7.7850146899835694E-7</v>
      </c>
      <c r="M41">
        <f t="shared" ca="1" si="33"/>
        <v>-4.127782438965427E-5</v>
      </c>
      <c r="N41">
        <f t="shared" ca="1" si="33"/>
        <v>-3.8836312658995317E-4</v>
      </c>
      <c r="O41">
        <f t="shared" ca="1" si="33"/>
        <v>-1.8114469295581143E-3</v>
      </c>
      <c r="P41">
        <f t="shared" ca="1" si="33"/>
        <v>-6.4862423075560602E-3</v>
      </c>
      <c r="Q41">
        <f t="shared" ca="1" si="33"/>
        <v>-1.7348803851249116E-2</v>
      </c>
      <c r="R41">
        <f t="shared" ca="1" si="33"/>
        <v>-5.4620164054280891E-2</v>
      </c>
      <c r="S41">
        <f t="shared" ca="1" si="33"/>
        <v>-0.25177219981753851</v>
      </c>
      <c r="T41">
        <f t="shared" ca="1" si="33"/>
        <v>-0.44176693001975065</v>
      </c>
      <c r="U41">
        <f t="shared" ca="1" si="33"/>
        <v>-5.6097880492297358E-2</v>
      </c>
      <c r="V41">
        <f t="shared" ca="1" si="33"/>
        <v>1.664291141337328</v>
      </c>
      <c r="W41">
        <f t="shared" ca="1" si="33"/>
        <v>6.0833197512472026</v>
      </c>
      <c r="X41">
        <f t="shared" ca="1" si="33"/>
        <v>12.614028365184103</v>
      </c>
      <c r="Y41">
        <f t="shared" ca="1" si="33"/>
        <v>18.771415456134459</v>
      </c>
      <c r="Z41">
        <f t="shared" ca="1" si="33"/>
        <v>23.412059961594846</v>
      </c>
      <c r="AA41">
        <f t="shared" ca="1" si="33"/>
        <v>26.901824961517644</v>
      </c>
      <c r="AB41">
        <f t="shared" ca="1" si="33"/>
        <v>29.74072707117249</v>
      </c>
      <c r="AC41">
        <f t="shared" ca="1" si="33"/>
        <v>32.235433075545757</v>
      </c>
      <c r="AD41">
        <f t="shared" ca="1" si="33"/>
        <v>34.533134283692938</v>
      </c>
      <c r="AE41">
        <f t="shared" ca="1" si="33"/>
        <v>36.697233778478655</v>
      </c>
      <c r="AF41">
        <f t="shared" ca="1" si="33"/>
        <v>38.753172623770475</v>
      </c>
      <c r="AG41">
        <f t="shared" ca="1" si="33"/>
        <v>40.710535819352316</v>
      </c>
      <c r="AH41">
        <f t="shared" ca="1" si="33"/>
        <v>42.57283491664402</v>
      </c>
      <c r="AI41">
        <f t="shared" ca="1" si="33"/>
        <v>44.262005680726347</v>
      </c>
    </row>
    <row r="42" spans="1:35">
      <c r="A42" s="1" t="s">
        <v>95</v>
      </c>
      <c r="B42" s="1">
        <f ca="1">SUMPRODUCT(lz/SUM(lz),len,ta1_)</f>
        <v>9.0461530677577091</v>
      </c>
      <c r="J42" s="8" t="s">
        <v>68</v>
      </c>
      <c r="K42">
        <f t="shared" ref="K42:AI42" ca="1" si="34">flt1_*qa1_+lz*wa*flt1_*flt3_/za*(sa-oa/za)</f>
        <v>-1.7128007735404129E-12</v>
      </c>
      <c r="L42">
        <f t="shared" ca="1" si="34"/>
        <v>-6.0990268849971313E-11</v>
      </c>
      <c r="M42">
        <f t="shared" ca="1" si="34"/>
        <v>-1.2628030124283959E-9</v>
      </c>
      <c r="N42">
        <f t="shared" ca="1" si="34"/>
        <v>-1.9564402741754966E-8</v>
      </c>
      <c r="O42">
        <f t="shared" ca="1" si="34"/>
        <v>-2.4710123878137543E-7</v>
      </c>
      <c r="P42">
        <f t="shared" ca="1" si="34"/>
        <v>-2.4663624229468304E-6</v>
      </c>
      <c r="Q42">
        <f t="shared" ca="1" si="34"/>
        <v>-1.8010612679771743E-5</v>
      </c>
      <c r="R42">
        <f t="shared" ca="1" si="34"/>
        <v>-1.8628399711169129E-4</v>
      </c>
      <c r="S42">
        <f t="shared" ca="1" si="34"/>
        <v>-4.754477231015534E-3</v>
      </c>
      <c r="T42">
        <f t="shared" ca="1" si="34"/>
        <v>-1.3948240548413822E-2</v>
      </c>
      <c r="U42">
        <f t="shared" ca="1" si="34"/>
        <v>0.23991072450245923</v>
      </c>
      <c r="V42">
        <f t="shared" ca="1" si="34"/>
        <v>1.7250958837337398</v>
      </c>
      <c r="W42">
        <f t="shared" ca="1" si="34"/>
        <v>5.9319842903039319</v>
      </c>
      <c r="X42">
        <f t="shared" ca="1" si="34"/>
        <v>12.35183079945859</v>
      </c>
      <c r="Y42">
        <f t="shared" ca="1" si="34"/>
        <v>18.494506440996638</v>
      </c>
      <c r="Z42">
        <f t="shared" ca="1" si="34"/>
        <v>23.150983693863115</v>
      </c>
      <c r="AA42">
        <f t="shared" ca="1" si="34"/>
        <v>26.672194713735102</v>
      </c>
      <c r="AB42">
        <f t="shared" ca="1" si="34"/>
        <v>29.545256253910395</v>
      </c>
      <c r="AC42">
        <f t="shared" ca="1" si="34"/>
        <v>32.071883505007584</v>
      </c>
      <c r="AD42">
        <f t="shared" ca="1" si="34"/>
        <v>34.39773690102929</v>
      </c>
      <c r="AE42">
        <f t="shared" ca="1" si="34"/>
        <v>36.585989311513565</v>
      </c>
      <c r="AF42">
        <f t="shared" ca="1" si="34"/>
        <v>38.662322157033948</v>
      </c>
      <c r="AG42">
        <f t="shared" ca="1" si="34"/>
        <v>40.636718470443789</v>
      </c>
      <c r="AH42">
        <f t="shared" ca="1" si="34"/>
        <v>42.513124399352883</v>
      </c>
      <c r="AI42">
        <f t="shared" ca="1" si="34"/>
        <v>44.04944428458996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-4.5921805878944718E-9</v>
      </c>
      <c r="L43">
        <f t="shared" ca="1" si="35"/>
        <v>-7.7850146899835683E-7</v>
      </c>
      <c r="M43">
        <f t="shared" ca="1" si="35"/>
        <v>-4.127782438965427E-5</v>
      </c>
      <c r="N43">
        <f t="shared" ca="1" si="35"/>
        <v>-3.8836312658995317E-4</v>
      </c>
      <c r="O43">
        <f t="shared" ca="1" si="35"/>
        <v>-1.8114469295581143E-3</v>
      </c>
      <c r="P43">
        <f t="shared" ca="1" si="35"/>
        <v>-6.4862423075560602E-3</v>
      </c>
      <c r="Q43">
        <f t="shared" ca="1" si="35"/>
        <v>-1.7348803851249116E-2</v>
      </c>
      <c r="R43">
        <f t="shared" ca="1" si="35"/>
        <v>-5.4620164054280898E-2</v>
      </c>
      <c r="S43">
        <f t="shared" ca="1" si="35"/>
        <v>-0.25177219981753857</v>
      </c>
      <c r="T43">
        <f t="shared" ca="1" si="35"/>
        <v>-0.44176693001975065</v>
      </c>
      <c r="U43">
        <f t="shared" ca="1" si="35"/>
        <v>-5.6097880492297414E-2</v>
      </c>
      <c r="V43">
        <f t="shared" ca="1" si="35"/>
        <v>1.664291141337328</v>
      </c>
      <c r="W43">
        <f t="shared" ca="1" si="35"/>
        <v>6.0833197512472026</v>
      </c>
      <c r="X43">
        <f t="shared" ca="1" si="35"/>
        <v>12.614028365184103</v>
      </c>
      <c r="Y43">
        <f t="shared" ca="1" si="35"/>
        <v>18.771415456134459</v>
      </c>
      <c r="Z43">
        <f t="shared" ca="1" si="35"/>
        <v>23.412059961594846</v>
      </c>
      <c r="AA43">
        <f t="shared" ca="1" si="35"/>
        <v>26.901824961517644</v>
      </c>
      <c r="AB43">
        <f t="shared" ca="1" si="35"/>
        <v>29.74072707117249</v>
      </c>
      <c r="AC43">
        <f t="shared" ca="1" si="35"/>
        <v>32.235433075545757</v>
      </c>
      <c r="AD43">
        <f t="shared" ca="1" si="35"/>
        <v>34.533134283692938</v>
      </c>
      <c r="AE43">
        <f t="shared" ca="1" si="35"/>
        <v>36.697233778478655</v>
      </c>
      <c r="AF43">
        <f t="shared" ca="1" si="35"/>
        <v>38.753172623770475</v>
      </c>
      <c r="AG43">
        <f t="shared" ca="1" si="35"/>
        <v>40.710535819352316</v>
      </c>
      <c r="AH43">
        <f t="shared" ca="1" si="35"/>
        <v>42.57283491664402</v>
      </c>
      <c r="AI43">
        <f t="shared" ca="1" si="35"/>
        <v>44.262005680726347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0.44999836467359461</v>
      </c>
      <c r="G46" s="31" t="s">
        <v>142</v>
      </c>
      <c r="H46" s="31"/>
      <c r="I46" s="31"/>
      <c r="J46" s="8" t="s">
        <v>75</v>
      </c>
      <c r="K46">
        <f t="shared" ref="K46:AI46" ca="1" si="36">lz*qa1_</f>
        <v>2.0955965141311619E-7</v>
      </c>
      <c r="L46">
        <f t="shared" ca="1" si="36"/>
        <v>1.9709143002911539E-6</v>
      </c>
      <c r="M46">
        <f t="shared" ca="1" si="36"/>
        <v>1.0962478811079525E-5</v>
      </c>
      <c r="N46">
        <f t="shared" ca="1" si="36"/>
        <v>4.6569258079432527E-5</v>
      </c>
      <c r="O46">
        <f t="shared" ca="1" si="36"/>
        <v>1.6863048164111346E-4</v>
      </c>
      <c r="P46">
        <f t="shared" ca="1" si="36"/>
        <v>5.5158964448135024E-4</v>
      </c>
      <c r="Q46">
        <f t="shared" ca="1" si="36"/>
        <v>1.7084921845616219E-3</v>
      </c>
      <c r="R46">
        <f t="shared" ca="1" si="36"/>
        <v>6.0605913690544742E-3</v>
      </c>
      <c r="S46">
        <f t="shared" ca="1" si="36"/>
        <v>3.702472666362272E-2</v>
      </c>
      <c r="T46">
        <f t="shared" ca="1" si="36"/>
        <v>0.17309818645997563</v>
      </c>
      <c r="U46">
        <f t="shared" ca="1" si="36"/>
        <v>0.44837588165037523</v>
      </c>
      <c r="V46">
        <f t="shared" ca="1" si="36"/>
        <v>0.87935588862392133</v>
      </c>
      <c r="W46">
        <f t="shared" ca="1" si="36"/>
        <v>1.3447099256166932</v>
      </c>
      <c r="X46">
        <f t="shared" ca="1" si="36"/>
        <v>1.6134801576069788</v>
      </c>
      <c r="Y46">
        <f t="shared" ca="1" si="36"/>
        <v>1.6255162208122853</v>
      </c>
      <c r="Z46">
        <f t="shared" ca="1" si="36"/>
        <v>1.4844764918188378</v>
      </c>
      <c r="AA46">
        <f t="shared" ca="1" si="36"/>
        <v>1.289958000639182</v>
      </c>
      <c r="AB46">
        <f t="shared" ca="1" si="36"/>
        <v>1.0929492596547064</v>
      </c>
      <c r="AC46">
        <f t="shared" ca="1" si="36"/>
        <v>0.91281154640507201</v>
      </c>
      <c r="AD46">
        <f t="shared" ca="1" si="36"/>
        <v>0.75515679671984004</v>
      </c>
      <c r="AE46">
        <f t="shared" ca="1" si="36"/>
        <v>0.62027991197419674</v>
      </c>
      <c r="AF46">
        <f t="shared" ca="1" si="36"/>
        <v>0.50651443662133655</v>
      </c>
      <c r="AG46">
        <f t="shared" ca="1" si="36"/>
        <v>0.41153511427477391</v>
      </c>
      <c r="AH46">
        <f t="shared" ca="1" si="36"/>
        <v>0.33288494298156579</v>
      </c>
      <c r="AI46">
        <f t="shared" ca="1" si="36"/>
        <v>1.1850233107297641</v>
      </c>
    </row>
    <row r="47" spans="1:35" ht="19" thickTop="1">
      <c r="A47" s="1" t="s">
        <v>41</v>
      </c>
      <c r="B47" s="10">
        <f ca="1">MAX(0,Ro*(reck-1/spr)/(reck-1))</f>
        <v>2.0689011048953692E-2</v>
      </c>
      <c r="F47" t="s">
        <v>83</v>
      </c>
      <c r="G47" s="30">
        <f ca="1">G39/G53</f>
        <v>1</v>
      </c>
      <c r="H47" s="30">
        <f ca="1">H53/H39</f>
        <v>0.91177356476596527</v>
      </c>
      <c r="I47" s="30">
        <f ca="1">I53/I39</f>
        <v>0.91573888060516828</v>
      </c>
      <c r="J47" s="8" t="s">
        <v>76</v>
      </c>
      <c r="K47">
        <f t="shared" ref="K47:AI47" ca="1" si="37">lz*qa2_</f>
        <v>4.1852395967662323E-4</v>
      </c>
      <c r="L47">
        <f t="shared" ca="1" si="37"/>
        <v>1.9812820912097413E-2</v>
      </c>
      <c r="M47">
        <f t="shared" ca="1" si="37"/>
        <v>0.29457349626245583</v>
      </c>
      <c r="N47">
        <f t="shared" ca="1" si="37"/>
        <v>0.78379301101704901</v>
      </c>
      <c r="O47">
        <f t="shared" ca="1" si="37"/>
        <v>1.0686154337394242</v>
      </c>
      <c r="P47">
        <f t="shared" ca="1" si="37"/>
        <v>1.2541810739244008</v>
      </c>
      <c r="Q47">
        <f t="shared" ca="1" si="37"/>
        <v>1.3650167268732423</v>
      </c>
      <c r="R47">
        <f t="shared" ca="1" si="37"/>
        <v>1.4069730781097922</v>
      </c>
      <c r="S47">
        <f t="shared" ca="1" si="37"/>
        <v>1.3858571887434294</v>
      </c>
      <c r="T47">
        <f t="shared" ca="1" si="37"/>
        <v>1.3079678117951115</v>
      </c>
      <c r="U47">
        <f t="shared" ca="1" si="37"/>
        <v>1.1885909707460744</v>
      </c>
      <c r="V47">
        <f t="shared" ca="1" si="37"/>
        <v>1.0446121403726694</v>
      </c>
      <c r="W47">
        <f t="shared" ca="1" si="37"/>
        <v>0.88763541209337116</v>
      </c>
      <c r="X47">
        <f t="shared" ca="1" si="37"/>
        <v>0.73074532885732124</v>
      </c>
      <c r="Y47">
        <f t="shared" ca="1" si="37"/>
        <v>0.58682094327420398</v>
      </c>
      <c r="Z47">
        <f t="shared" ca="1" si="37"/>
        <v>0.50435568523292362</v>
      </c>
      <c r="AA47">
        <f t="shared" ca="1" si="37"/>
        <v>0.4275860292173167</v>
      </c>
      <c r="AB47">
        <f t="shared" ca="1" si="37"/>
        <v>0.35875785490905793</v>
      </c>
      <c r="AC47">
        <f t="shared" ca="1" si="37"/>
        <v>0.29848233156523174</v>
      </c>
      <c r="AD47">
        <f t="shared" ca="1" si="37"/>
        <v>0.24656242236227091</v>
      </c>
      <c r="AE47">
        <f t="shared" ca="1" si="37"/>
        <v>0.20240780359181612</v>
      </c>
      <c r="AF47">
        <f t="shared" ca="1" si="37"/>
        <v>0.16524803990537074</v>
      </c>
      <c r="AG47">
        <f t="shared" ca="1" si="37"/>
        <v>0.13425079120963027</v>
      </c>
      <c r="AH47">
        <f t="shared" ca="1" si="37"/>
        <v>0.10859083390248023</v>
      </c>
      <c r="AI47">
        <f t="shared" ca="1" si="37"/>
        <v>0.38656645669053014</v>
      </c>
    </row>
    <row r="48" spans="1:35">
      <c r="A48" s="1" t="s">
        <v>43</v>
      </c>
      <c r="B48" s="122">
        <f ca="1">f1_*re*phi_q1</f>
        <v>2.5844008932292342E-2</v>
      </c>
      <c r="C48" s="19">
        <f ca="1">ye_1/SUM(ye_1,ye_2,ye_3)</f>
        <v>0.60367653566062185</v>
      </c>
      <c r="F48" t="s">
        <v>84</v>
      </c>
      <c r="G48" s="30">
        <f ca="1">G40/G54</f>
        <v>1.0967635371800681</v>
      </c>
      <c r="H48" s="30">
        <f t="shared" ref="H48:I49" ca="1" si="38">H40/H54</f>
        <v>0.99999999999999989</v>
      </c>
      <c r="I48" s="30">
        <f ca="1">I54/I40</f>
        <v>2.1353486094044838</v>
      </c>
      <c r="J48" s="8" t="s">
        <v>77</v>
      </c>
      <c r="K48">
        <f t="shared" ref="K48:AI48" ca="1" si="39">lz*qa3_</f>
        <v>1.684519080893634E-6</v>
      </c>
      <c r="L48">
        <f t="shared" ca="1" si="39"/>
        <v>2.2119385549096571E-5</v>
      </c>
      <c r="M48">
        <f t="shared" ca="1" si="39"/>
        <v>1.7138335678324167E-4</v>
      </c>
      <c r="N48">
        <f t="shared" ca="1" si="39"/>
        <v>1.0051032688282353E-3</v>
      </c>
      <c r="O48">
        <f t="shared" ca="1" si="39"/>
        <v>4.8545527873549094E-3</v>
      </c>
      <c r="P48">
        <f t="shared" ca="1" si="39"/>
        <v>1.887450883012716E-2</v>
      </c>
      <c r="Q48">
        <f t="shared" ca="1" si="39"/>
        <v>5.5003520487977908E-2</v>
      </c>
      <c r="R48">
        <f t="shared" ca="1" si="39"/>
        <v>0.18885060891744607</v>
      </c>
      <c r="S48">
        <f t="shared" ca="1" si="39"/>
        <v>0.95651541218783054</v>
      </c>
      <c r="T48">
        <f t="shared" ca="1" si="39"/>
        <v>2.0294377501288783</v>
      </c>
      <c r="U48">
        <f t="shared" ca="1" si="39"/>
        <v>2.1354137218473062</v>
      </c>
      <c r="V48">
        <f t="shared" ca="1" si="39"/>
        <v>1.886125215549155</v>
      </c>
      <c r="W48">
        <f t="shared" ca="1" si="39"/>
        <v>1.5763944930687612</v>
      </c>
      <c r="X48">
        <f t="shared" ca="1" si="39"/>
        <v>1.2719963558927312</v>
      </c>
      <c r="Y48">
        <f t="shared" ca="1" si="39"/>
        <v>1.0005358619527487</v>
      </c>
      <c r="Z48">
        <f t="shared" ca="1" si="39"/>
        <v>0.85993173222431463</v>
      </c>
      <c r="AA48">
        <f t="shared" ca="1" si="39"/>
        <v>0.7290386636763162</v>
      </c>
      <c r="AB48">
        <f t="shared" ca="1" si="39"/>
        <v>0.61168590471732132</v>
      </c>
      <c r="AC48">
        <f t="shared" ca="1" si="39"/>
        <v>0.50891550533965613</v>
      </c>
      <c r="AD48">
        <f t="shared" ca="1" si="39"/>
        <v>0.42039151569292116</v>
      </c>
      <c r="AE48">
        <f t="shared" ca="1" si="39"/>
        <v>0.34510742766396213</v>
      </c>
      <c r="AF48">
        <f t="shared" ca="1" si="39"/>
        <v>0.28174964090445803</v>
      </c>
      <c r="AG48">
        <f t="shared" ca="1" si="39"/>
        <v>0.22889900682702946</v>
      </c>
      <c r="AH48">
        <f t="shared" ca="1" si="39"/>
        <v>0.18514851053640283</v>
      </c>
      <c r="AI48">
        <f t="shared" ca="1" si="39"/>
        <v>0.65909986236832641</v>
      </c>
    </row>
    <row r="49" spans="1:47">
      <c r="A49" s="1" t="s">
        <v>44</v>
      </c>
      <c r="B49" s="122">
        <f ca="1">f2_*re*phi_q2</f>
        <v>9.6382314155313946E-3</v>
      </c>
      <c r="C49" s="19">
        <f ca="1">ye_2/SUM(ye_1,ye_2,ye_3)</f>
        <v>0.22513434994031628</v>
      </c>
      <c r="F49" t="s">
        <v>85</v>
      </c>
      <c r="G49" s="30">
        <f ca="1">G41/G55</f>
        <v>1.0920143516666536</v>
      </c>
      <c r="H49" s="30">
        <f t="shared" ca="1" si="38"/>
        <v>0.46830760822650164</v>
      </c>
      <c r="I49" s="30">
        <f t="shared" ca="1" si="38"/>
        <v>0.99999999999999967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22">
        <f ca="1">f3_*re*phi_q3</f>
        <v>7.3287807961576875E-3</v>
      </c>
      <c r="C50" s="19">
        <f ca="1">ye_3/SUM(ye_1,ye_2,ye_3)</f>
        <v>0.17118911439906173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4.2811021143981429E-2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0.18975139119345452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0.97887244212325542</v>
      </c>
      <c r="H52" s="56">
        <f ca="1">H40^0.5</f>
        <v>0.59688650573084401</v>
      </c>
      <c r="I52" s="10">
        <f ca="1">I41^0.5</f>
        <v>0.60943999371840329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-4.2764108476589513E-2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1.2491659882215276</v>
      </c>
      <c r="C53">
        <f ca="1">AVERAGE(B53:B55)/B53</f>
        <v>0.55217208826670128</v>
      </c>
      <c r="G53">
        <f ca="1">G$52*$J53</f>
        <v>0.95819125794834603</v>
      </c>
      <c r="H53">
        <f t="shared" ref="G53:I55" ca="1" si="40">H$52*$J53</f>
        <v>0.58427575153516775</v>
      </c>
      <c r="I53">
        <f t="shared" ca="1" si="40"/>
        <v>0.59656401497871492</v>
      </c>
      <c r="J53">
        <f t="array" aca="1" ref="J53:J55" ca="1">TRANSPOSE(G52:I52)</f>
        <v>0.97887244212325542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-3.2498105300565738E-2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0.46586235527284087</v>
      </c>
      <c r="C54">
        <f ca="1">AVERAGE(B53:B55)/B54</f>
        <v>1.4805974007151768</v>
      </c>
      <c r="G54">
        <f t="shared" ca="1" si="40"/>
        <v>0.58427575153516775</v>
      </c>
      <c r="H54">
        <f t="shared" ca="1" si="40"/>
        <v>0.35627350072357689</v>
      </c>
      <c r="I54">
        <f ca="1">I$52*$J54</f>
        <v>0.36376650830320528</v>
      </c>
      <c r="J54">
        <f ca="1"/>
        <v>0.59688650573084401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0.35423543342968666</v>
      </c>
      <c r="C55">
        <f ca="1">AVERAGE(B53:B55)/B55</f>
        <v>1.9471643071667195</v>
      </c>
      <c r="G55">
        <f t="shared" ca="1" si="40"/>
        <v>0.59656401497871492</v>
      </c>
      <c r="H55">
        <f t="shared" ca="1" si="40"/>
        <v>0.36376650830320528</v>
      </c>
      <c r="I55">
        <f t="shared" ca="1" si="40"/>
        <v>0.37141710594348742</v>
      </c>
      <c r="J55">
        <f ca="1"/>
        <v>0.60943999371840329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4.4667692660797835E-2</v>
      </c>
      <c r="C56">
        <f ca="1">AVERAGE(B56:B58)/B56</f>
        <v>1.0015529916011847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7.0997393739105089E-2</v>
      </c>
      <c r="C57">
        <f ca="1">AVERAGE(B56:B58)/B57</f>
        <v>0.63012258417175326</v>
      </c>
      <c r="I57"/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1.8546097237130129E-2</v>
      </c>
      <c r="C58">
        <f ca="1">AVERAGE(B56:B58)/B58</f>
        <v>2.4122089213885238</v>
      </c>
      <c r="I58"/>
      <c r="AL58" s="30"/>
      <c r="AM58" s="30"/>
      <c r="AN58" s="30"/>
      <c r="AO58" s="30"/>
      <c r="AP58" s="30"/>
    </row>
    <row r="59" spans="1:47">
      <c r="I59"/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27.965760347362782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6.561682489145312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19.100268315238381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22185.133991994633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0.22513595166163142</v>
      </c>
      <c r="E5" s="46">
        <v>9315</v>
      </c>
      <c r="F5" s="46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6291.2801403410349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0.11522138309293593</v>
      </c>
      <c r="W7" s="1">
        <f t="shared" ca="1" si="4"/>
        <v>9.2002116389942781E-2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4.079275850306649E-2</v>
      </c>
      <c r="AA7" s="1">
        <f t="shared" ca="1" si="4"/>
        <v>3.0376571826774293E-2</v>
      </c>
      <c r="AB7" s="1">
        <f t="shared" ca="1" si="4"/>
        <v>2.254828216123269E-2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1.0655163487855189E-2</v>
      </c>
    </row>
    <row r="8" spans="1:35">
      <c r="A8" s="5"/>
      <c r="B8" s="25"/>
      <c r="C8" s="25"/>
      <c r="E8" t="s">
        <v>110</v>
      </c>
      <c r="F8">
        <f ca="1">SUMXMY2(E4:E6,F4:F6)</f>
        <v>9505448.5453321338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0.20363299727562001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0.68157873728163154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0.11478826544274839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0.29066549607270942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1.1954033749026725E-2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2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3"/>
    </row>
    <row r="27" spans="1:39">
      <c r="A27" t="s">
        <v>14</v>
      </c>
      <c r="B27" s="27">
        <f ca="1">fbar*C27</f>
        <v>0.13261120153241124</v>
      </c>
      <c r="C27" s="35">
        <f ca="1">CHOOSE(C$25,E36,E39,1)</f>
        <v>1.5625829326748903</v>
      </c>
      <c r="E27" s="41">
        <f ca="1">f1_/(F4/(f1_*365*re*phib))</f>
        <v>137.71284947495315</v>
      </c>
      <c r="F27" s="106">
        <f ca="1">F4/E27</f>
        <v>161.09705141225479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7">
        <f ca="1">fbar*C28</f>
        <v>9.7896093755340571E-2</v>
      </c>
      <c r="C28" s="35">
        <f ca="1">CHOOSE(C$25,E37,E40,1)</f>
        <v>1.1535282352467693</v>
      </c>
      <c r="E28" s="41">
        <f ca="1">f2_/(F5/(f2_*365*re*phib))</f>
        <v>201.23438232103834</v>
      </c>
      <c r="F28" s="106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7">
        <f ca="1">fbar*C29</f>
        <v>2.4092698273042324E-2</v>
      </c>
      <c r="C29" s="35">
        <f ca="1">CHOOSE(C$25,E38,E41,1)</f>
        <v>0.28388883207834081</v>
      </c>
      <c r="E29" s="41">
        <f ca="1">f3_/(F6/(f3_*365*re*phib))</f>
        <v>16.029056510573863</v>
      </c>
      <c r="F29" s="106">
        <f t="shared" ca="1" si="22"/>
        <v>392.49223035622066</v>
      </c>
    </row>
    <row r="30" spans="1:39">
      <c r="A30" t="s">
        <v>94</v>
      </c>
      <c r="B30" s="27">
        <v>8.4866664520264701E-2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0.25459999356079416</v>
      </c>
      <c r="G31">
        <f ca="1">SUMPRODUCT(dlz1_,wa,ma)</f>
        <v>-93.602712455615418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-5.987917377371299E-2</v>
      </c>
      <c r="X31">
        <f t="shared" ca="1" si="24"/>
        <v>-8.7532109018056733E-2</v>
      </c>
      <c r="Y31">
        <f t="shared" ca="1" si="24"/>
        <v>-0.10835901600858783</v>
      </c>
      <c r="Z31">
        <f t="shared" ca="1" si="24"/>
        <v>-0.11755239189745684</v>
      </c>
      <c r="AA31">
        <f t="shared" ca="1" si="24"/>
        <v>-0.11642415307513278</v>
      </c>
      <c r="AB31">
        <f t="shared" ca="1" si="24"/>
        <v>-0.10850031071171044</v>
      </c>
      <c r="AC31">
        <f t="shared" ca="1" si="24"/>
        <v>-9.7007244412971205E-2</v>
      </c>
      <c r="AD31">
        <f t="shared" ca="1" si="24"/>
        <v>-8.4221197168351025E-2</v>
      </c>
      <c r="AE31">
        <f t="shared" ca="1" si="24"/>
        <v>-7.1555422828501025E-2</v>
      </c>
      <c r="AF31">
        <f t="shared" ca="1" si="24"/>
        <v>-5.9798913276542257E-2</v>
      </c>
      <c r="AG31">
        <f t="shared" ca="1" si="24"/>
        <v>-4.9329393650679343E-2</v>
      </c>
      <c r="AH31">
        <f t="shared" ca="1" si="24"/>
        <v>-4.0269212266321124E-2</v>
      </c>
      <c r="AI31">
        <f ca="1">(AH31*sa-AH$7*AH18*AH$10)/oa-AH$7*AH$10*flt1_*sa/oa^2</f>
        <v>-0.15614586836874611</v>
      </c>
    </row>
    <row r="32" spans="1:39">
      <c r="A32" s="11" t="s">
        <v>22</v>
      </c>
      <c r="B32" s="11"/>
      <c r="C32" s="11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8" t="s">
        <v>127</v>
      </c>
      <c r="B33" s="59">
        <f ca="1">SUMPRODUCT(lz*wa)</f>
        <v>60.593439599463437</v>
      </c>
      <c r="C33" s="57"/>
      <c r="G33">
        <f ca="1">SUMPRODUCT(dlz3_,wa,ma)</f>
        <v>-177.79367079111066</v>
      </c>
      <c r="H33">
        <f ca="1">Ro/(reck-1)*phie/phif^2*dphif</f>
        <v>-19495.231379170451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-0.38935153931794719</v>
      </c>
      <c r="Y33">
        <f t="shared" ca="1" si="26"/>
        <v>-0.3257671629692025</v>
      </c>
      <c r="Z33">
        <f t="shared" ca="1" si="26"/>
        <v>-0.26527396673310755</v>
      </c>
      <c r="AA33">
        <f t="shared" ca="1" si="26"/>
        <v>-0.21380657854045862</v>
      </c>
      <c r="AB33">
        <f t="shared" ca="1" si="26"/>
        <v>-0.17104520362966502</v>
      </c>
      <c r="AC33">
        <f t="shared" ca="1" si="26"/>
        <v>-0.13603631210006742</v>
      </c>
      <c r="AD33">
        <f t="shared" ca="1" si="26"/>
        <v>-0.1076676095444776</v>
      </c>
      <c r="AE33">
        <f t="shared" ca="1" si="26"/>
        <v>-8.4859872636847994E-2</v>
      </c>
      <c r="AF33">
        <f t="shared" ca="1" si="26"/>
        <v>-6.6639856271353576E-2</v>
      </c>
      <c r="AG33">
        <f t="shared" ca="1" si="26"/>
        <v>-5.2162854459811815E-2</v>
      </c>
      <c r="AH33">
        <f t="shared" ca="1" si="26"/>
        <v>-4.0713055856186564E-2</v>
      </c>
      <c r="AI33">
        <f ca="1">(AH33*sa-AH$7*AH20*AH$10)/oa-AH$7*AH$10*flt3_*sa/oa^2</f>
        <v>-0.13917573018997681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6"/>
      <c r="G35" s="1">
        <f ca="1">SUM(dqa11_)</f>
        <v>885.54754369226384</v>
      </c>
      <c r="H35" s="1">
        <f ca="1">SUM(dqa12_)</f>
        <v>893.23850329285631</v>
      </c>
      <c r="I35" s="10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51.757602954089236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0.35658537438540761</v>
      </c>
      <c r="C36" s="28">
        <f ca="1">B11/(phi_t1/SUM(B$36:B$38))</f>
        <v>2.8744277243918526</v>
      </c>
      <c r="E36" s="37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0">
        <f ca="1">SUM(dqa23_)</f>
        <v>891.54007751810127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8">
        <f ca="1">B12/(phi_t2/SUM(B$36:B$38))</f>
        <v>1.0076801916217859</v>
      </c>
      <c r="E37" s="37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891.54007751810127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8">
        <f ca="1">B13/(phi_t3/SUM(B$36:B$38))</f>
        <v>0.38465503951801394</v>
      </c>
      <c r="E38" s="37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2">
        <f ca="1">B4/(phi_q1/SUM(B$39:B$41))</f>
        <v>1.8509125747676285</v>
      </c>
      <c r="D39" s="20"/>
      <c r="E39" s="38">
        <f ca="1">C39/AVERAGE(C$39:C$41)</f>
        <v>1.5625829326748897</v>
      </c>
      <c r="G39" s="107">
        <f ca="1">re*phi_q1+f1_*phi_q1*$H31+f1_*re*G35</f>
        <v>1060772.0875306202</v>
      </c>
      <c r="H39" s="107">
        <f ca="1">re*phi_q1+f1_*phi_q1*$H32+f1_*re*H35</f>
        <v>1064687.7160825557</v>
      </c>
      <c r="I39" s="107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2">
        <f ca="1">B5/(phi_q2/SUM(B$39:B$41))</f>
        <v>1.3663786230615256</v>
      </c>
      <c r="D40" s="20"/>
      <c r="E40" s="38">
        <f ca="1">C40/AVERAGE(C$39:C$41)</f>
        <v>1.1535282352467693</v>
      </c>
      <c r="G40" s="107">
        <f ca="1">re*phi_q1+f1_*phi_q1*$H32+f1_*re*G36</f>
        <v>1064687.7160825557</v>
      </c>
      <c r="H40" s="107">
        <f ca="1">re*phi_q2+f2_*phi_q2*$H32+f2_*re*H36</f>
        <v>80505.958842414984</v>
      </c>
      <c r="I40" s="107">
        <f ca="1">re*phi_q3+f3_*phi_q3*$H33+f3_*re*I36</f>
        <v>414240.99236423301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33.242674119398259</v>
      </c>
      <c r="C41" s="22">
        <f ca="1">B6/(phi_q3/SUM(B$39:B$41))</f>
        <v>0.33627233354610209</v>
      </c>
      <c r="D41" s="20"/>
      <c r="E41" s="38">
        <f ca="1">C41/AVERAGE(C$39:C$41)</f>
        <v>0.28388883207834092</v>
      </c>
      <c r="G41" s="107">
        <f ca="1">re*phi_q1+f1_*phi_q1*$H33+f1_*re*G37</f>
        <v>1036835.9224605726</v>
      </c>
      <c r="H41" s="107">
        <f ca="1">re*phi_q3+f3_*phi_q3*$H33+f3_*re*H37</f>
        <v>414240.99236423307</v>
      </c>
      <c r="I41" s="107">
        <f ca="1">re*phi_q3+f1_*phi_q3*$H33+f3_*re*I37</f>
        <v>249577.39331008765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95</v>
      </c>
      <c r="B42" s="1">
        <f ca="1">SUMPRODUCT(lz/SUM(lz),len,ta1_)</f>
        <v>8.6166059133718278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0.29066549607270947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1.4652572337848051</v>
      </c>
      <c r="W46">
        <f t="shared" ca="1" si="36"/>
        <v>2.2097804176112139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2.2424653043682308</v>
      </c>
      <c r="AA46">
        <f t="shared" ca="1" si="36"/>
        <v>1.8791145355961141</v>
      </c>
      <c r="AB46">
        <f t="shared" ca="1" si="36"/>
        <v>1.5331746178019139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0">
        <f ca="1">MAX(0,Ro*(reck-1/spr)/(reck-1))</f>
        <v>7855.2069289443052</v>
      </c>
      <c r="F47" t="s">
        <v>83</v>
      </c>
      <c r="G47" s="30">
        <f ca="1">G39/G53</f>
        <v>0.99999999999999978</v>
      </c>
      <c r="H47" s="30">
        <f ca="1">H53/H39</f>
        <v>0.27447501140471847</v>
      </c>
      <c r="I47" s="30">
        <f ca="1">I53/I39</f>
        <v>0.49625355222995315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</v>
      </c>
      <c r="W47">
        <f t="shared" ca="1" si="37"/>
        <v>0.27153409741632678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9.7958721521240563E-2</v>
      </c>
      <c r="AA47">
        <f t="shared" ca="1" si="37"/>
        <v>8.0086224045328822E-2</v>
      </c>
      <c r="AB47">
        <f t="shared" ca="1" si="37"/>
        <v>6.4706880887811125E-2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4.606553734834487E-2</v>
      </c>
    </row>
    <row r="48" spans="1:35">
      <c r="A48" s="1" t="s">
        <v>43</v>
      </c>
      <c r="B48" s="1">
        <f ca="1">f1_*re*phi_q1</f>
        <v>22185.13399199464</v>
      </c>
      <c r="C48" s="19">
        <f ca="1">ye_1/SUM(ye_1,ye_2,ye_3)</f>
        <v>0.60367371601208464</v>
      </c>
      <c r="F48" t="s">
        <v>84</v>
      </c>
      <c r="G48" s="30">
        <f ca="1">G40/G54</f>
        <v>3.643318912283354</v>
      </c>
      <c r="H48" s="30">
        <f t="shared" ref="H48:I49" ca="1" si="38">H40/H54</f>
        <v>0.99999999999999944</v>
      </c>
      <c r="I48" s="30">
        <f ca="1">I54/I40</f>
        <v>0.34218704405467876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3.1446354757637955</v>
      </c>
      <c r="W48">
        <f t="shared" ca="1" si="39"/>
        <v>2.5907857328070203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1.2990620905880432</v>
      </c>
      <c r="AA48">
        <f t="shared" ca="1" si="39"/>
        <v>1.0620491572367934</v>
      </c>
      <c r="AB48">
        <f t="shared" ca="1" si="39"/>
        <v>0.85809874461586255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0.61088989650428227</v>
      </c>
    </row>
    <row r="49" spans="1:47">
      <c r="A49" s="1" t="s">
        <v>44</v>
      </c>
      <c r="B49" s="1">
        <f ca="1">f2_*re*phi_q2</f>
        <v>8273.7928148068258</v>
      </c>
      <c r="C49" s="19">
        <f ca="1">ye_2/SUM(ye_1,ye_2,ye_3)</f>
        <v>0.22513595166163144</v>
      </c>
      <c r="F49" t="s">
        <v>85</v>
      </c>
      <c r="G49" s="30">
        <f ca="1">G41/G55</f>
        <v>2.0150989257536276</v>
      </c>
      <c r="H49" s="30">
        <f t="shared" ca="1" si="38"/>
        <v>2.9223783231261327</v>
      </c>
      <c r="I49" s="30">
        <f t="shared" ca="1" si="38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6291.2801403410385</v>
      </c>
      <c r="C50" s="19">
        <f ca="1">ye_3/SUM(ye_1,ye_2,ye_3)</f>
        <v>0.17119033232628406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36750.206947142506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07">
        <f ca="1">G39^0.5</f>
        <v>1029.9379046965016</v>
      </c>
      <c r="H52" s="107">
        <f ca="1">H40^0.5</f>
        <v>283.73572006783883</v>
      </c>
      <c r="I52" s="108">
        <f ca="1">I41^0.5</f>
        <v>499.57721456256155</v>
      </c>
      <c r="J52" s="107"/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2.8242583795276541</v>
      </c>
      <c r="C53">
        <f ca="1">AVERAGE(B53:B55)/B53</f>
        <v>0.55217466736063847</v>
      </c>
      <c r="G53" s="107">
        <f ca="1">G$52*$J53</f>
        <v>1060772.0875306202</v>
      </c>
      <c r="H53" s="107">
        <f t="shared" ref="H53:I53" ca="1" si="40">H$52*$J53</f>
        <v>292230.17301422305</v>
      </c>
      <c r="I53" s="107">
        <f t="shared" ca="1" si="40"/>
        <v>514533.50960067927</v>
      </c>
      <c r="J53" s="107">
        <f t="array" aca="1" ref="J53:J55" ca="1">TRANSPOSE(G52:I52)</f>
        <v>1029.9379046965016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1.0532876968931457</v>
      </c>
      <c r="C54">
        <f ca="1">AVERAGE(B53:B55)/B54</f>
        <v>1.4805868670602971</v>
      </c>
      <c r="G54" s="107">
        <f t="shared" ref="G54:I55" ca="1" si="41">G$52*$J54</f>
        <v>292230.17301422305</v>
      </c>
      <c r="H54" s="107">
        <f t="shared" ca="1" si="41"/>
        <v>80505.958842414999</v>
      </c>
      <c r="I54" s="107">
        <f ca="1">I$52*$J54</f>
        <v>141747.90070339362</v>
      </c>
      <c r="J54" s="107">
        <f ca="1"/>
        <v>283.73572006783883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0.80090571734773519</v>
      </c>
      <c r="C55">
        <f ca="1">AVERAGE(B53:B55)/B55</f>
        <v>1.9471504541390177</v>
      </c>
      <c r="G55" s="107">
        <f t="shared" ca="1" si="41"/>
        <v>514533.50960067927</v>
      </c>
      <c r="H55" s="107">
        <f t="shared" ca="1" si="41"/>
        <v>141747.90070339362</v>
      </c>
      <c r="I55" s="107">
        <f t="shared" ca="1" si="41"/>
        <v>249577.39331008767</v>
      </c>
      <c r="J55" s="107">
        <f ca="1"/>
        <v>499.57721456256155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4.7287214946133603E-2</v>
      </c>
      <c r="C56">
        <f ca="1">AVERAGE(B56:B58)/B56</f>
        <v>1.6369318224106972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1644604658047.0205</v>
      </c>
      <c r="I57">
        <f ca="1"/>
        <v>1799654708781.2544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2.6655883152071801E-2</v>
      </c>
      <c r="C58">
        <f ca="1">AVERAGE(B56:B58)/B58</f>
        <v>2.9038972934004832</v>
      </c>
      <c r="G58">
        <f ca="1"/>
        <v>1644604658047.0205</v>
      </c>
      <c r="H58">
        <f ca="1"/>
        <v>1311636741941.1301</v>
      </c>
      <c r="I58">
        <f ca="1"/>
        <v>1240640525595.4619</v>
      </c>
      <c r="AL58" s="30"/>
      <c r="AM58" s="30"/>
      <c r="AN58" s="30"/>
      <c r="AO58" s="30"/>
      <c r="AP58" s="30"/>
    </row>
    <row r="59" spans="1:47">
      <c r="G59">
        <f ca="1"/>
        <v>1799654708781.2544</v>
      </c>
      <c r="H59">
        <f ca="1"/>
        <v>1240640525595.4619</v>
      </c>
      <c r="I59">
        <f ca="1"/>
        <v>1308913205111.0293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59.725623146655145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6.6548059330886309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30.046114502324624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G3" t="s">
        <v>139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0.71126741040739672</v>
      </c>
      <c r="E4" s="46">
        <v>24977</v>
      </c>
      <c r="F4" s="46">
        <f ca="1">ye_1</f>
        <v>28995.344547135712</v>
      </c>
      <c r="G4">
        <f ca="1">F4/(f1_*365*re*phib)</f>
        <v>8.3260931991565831E-4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0.13729294709599466</v>
      </c>
      <c r="E5" s="46">
        <v>9315</v>
      </c>
      <c r="F5" s="46">
        <f ca="1">ye_2</f>
        <v>5596.8490144373445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0.15143964249660852</v>
      </c>
      <c r="E6" s="46">
        <v>7083</v>
      </c>
      <c r="F6" s="46">
        <f ca="1">ye_3</f>
        <v>6173.5495652319223</v>
      </c>
      <c r="G6">
        <f ca="1">F6/(f3_*365*re*phib)</f>
        <v>1.519935321228922E-3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5"/>
      <c r="C8" s="25"/>
      <c r="E8" t="s">
        <v>110</v>
      </c>
      <c r="F8">
        <f ca="1">SUMXMY2(E4:E6,F4:F6)</f>
        <v>30798839.744235702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0.20044223399971606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0.21453113211351274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0.33281383386907948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0.27051004013116176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1.6767649706833344E-2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1.3046088794965699E-4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2.1692473977616289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3.7509610967421327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2.8170764468179645E-3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25.664257721594062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4.2845633586895413E-5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3"/>
    </row>
    <row r="27" spans="1:39">
      <c r="A27" t="s">
        <v>14</v>
      </c>
      <c r="B27" s="27">
        <f ca="1">fbar*C27</f>
        <v>0.20426434232222523</v>
      </c>
      <c r="C27" s="35">
        <f ca="1">CHOOSE(C$25,E36,E39,1)</f>
        <v>2.0971371284395381</v>
      </c>
      <c r="E27" s="41">
        <f ca="1">f1_/(F4/(f1_*365*re*phib))</f>
        <v>245.3303577516005</v>
      </c>
      <c r="F27" s="106">
        <f ca="1">F4/E27</f>
        <v>118.18897919063809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0.71241872276453011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0.11179318027359751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7">
        <f ca="1">fbar*C28</f>
        <v>6.4116176633188082E-2</v>
      </c>
      <c r="C28" s="35">
        <f ca="1">CHOOSE(C$25,E37,E40,1)</f>
        <v>0.65826670001431831</v>
      </c>
      <c r="E28" s="41">
        <f ca="1">f2_/(F5/(f2_*365*re*phib))</f>
        <v>125.22357203548577</v>
      </c>
      <c r="F28" s="106">
        <f t="shared" ref="F28:F29" ca="1" si="22">F5/E28</f>
        <v>44.694851963265457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9.2517709425074556E-4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0.76489436068802641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7">
        <f ca="1">fbar*C29</f>
        <v>2.382403870393715E-2</v>
      </c>
      <c r="C29" s="35">
        <f ca="1">CHOOSE(C$25,E38,E41,1)</f>
        <v>0.24459617154614346</v>
      </c>
      <c r="E29" s="41">
        <f ca="1">f3_/(F6/(f3_*365*re*phib))</f>
        <v>15.674376646944795</v>
      </c>
      <c r="F29" s="106">
        <f t="shared" ca="1" si="22"/>
        <v>393.86252508071846</v>
      </c>
    </row>
    <row r="30" spans="1:39">
      <c r="A30" t="s">
        <v>94</v>
      </c>
      <c r="B30" s="27">
        <v>9.7401519219783489E-2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1" t="s">
        <v>22</v>
      </c>
      <c r="B32" s="11"/>
      <c r="C32" s="11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8" t="s">
        <v>127</v>
      </c>
      <c r="B33" s="59">
        <f ca="1">SUMPRODUCT(lz*wa)</f>
        <v>61.298342986053797</v>
      </c>
      <c r="C33" s="57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6"/>
      <c r="G35" s="1">
        <f ca="1">SUM(dqa11_)</f>
        <v>858.70581242522746</v>
      </c>
      <c r="H35" s="1">
        <f ca="1">SUM(dqa12_)</f>
        <v>864.97062128871664</v>
      </c>
      <c r="I35" s="10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4.3513045942262014E-9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8">
        <f ca="1">B11/(phi_t1/SUM(B$36:B$38))</f>
        <v>3.2029196124697448</v>
      </c>
      <c r="E36" s="37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0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1.2030314898223393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8">
        <f ca="1">B12/(phi_t2/SUM(B$36:B$38))</f>
        <v>1.0053588270979792</v>
      </c>
      <c r="E37" s="37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2.0288787345587994E-6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20.141784701167381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8">
        <f ca="1">B13/(phi_t3/SUM(B$36:B$38))</f>
        <v>0.37356730962228235</v>
      </c>
      <c r="E38" s="37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-3.0210795644376762E-5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2">
        <f ca="1">B4/(phi_q1/SUM(B$39:B$41))</f>
        <v>2.0769147059846689</v>
      </c>
      <c r="D39" s="20"/>
      <c r="E39" s="38">
        <f ca="1">C39/AVERAGE(C$39:C$41)</f>
        <v>1.7028003330033581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-3.3072442612135281E-8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0.60541445245829206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2">
        <f ca="1">B5/(phi_q2/SUM(B$39:B$41))</f>
        <v>1.2595661654277954</v>
      </c>
      <c r="D40" s="20"/>
      <c r="E40" s="38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-3.0210795644376762E-5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2">
        <f ca="1">B6/(phi_q3/SUM(B$39:B$41))</f>
        <v>0.32263523115745413</v>
      </c>
      <c r="D41" s="20"/>
      <c r="E41" s="38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400810.03284073307</v>
      </c>
      <c r="I41" s="1">
        <f ca="1">re*phi_q3+f1_*phi_q3*$H33+f3_*re*I37</f>
        <v>200076.7455271559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-6.5247672927205077E-4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0.71069911985817669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95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-3.3072442612135281E-8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0.60541445245829206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-6.5247672927205077E-4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0.71069911985817669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0.27051004013116176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7.9523070355710547E-5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0">
        <f ca="1">MAX(0,Ro*(reck-1/spr)/(reck-1))</f>
        <v>7619.9627183515895</v>
      </c>
      <c r="F47" t="s">
        <v>83</v>
      </c>
      <c r="G47" s="30">
        <f ca="1">G39/G53</f>
        <v>1.0000000000000002</v>
      </c>
      <c r="H47" s="30">
        <f ca="1">H53/H39</f>
        <v>0.24132609274197503</v>
      </c>
      <c r="I47" s="30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1.3222753282018695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0.59551575922001709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19">
        <f ca="1">ye_1/SUM(ye_1,ye_2,ye_3)</f>
        <v>0.71126741040739683</v>
      </c>
      <c r="F48" t="s">
        <v>84</v>
      </c>
      <c r="G48" s="30">
        <f ca="1">G40/G54</f>
        <v>4.1437707321155548</v>
      </c>
      <c r="H48" s="30">
        <f t="shared" ref="H48:I49" ca="1" si="38">H40/H54</f>
        <v>0.99999999999999978</v>
      </c>
      <c r="I48" s="30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1.7171626837628701E-3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4.0745477032986583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5596.8490144373445</v>
      </c>
      <c r="C49" s="19">
        <f ca="1">ye_2/SUM(ye_1,ye_2,ye_3)</f>
        <v>0.13729294709599468</v>
      </c>
      <c r="F49" t="s">
        <v>85</v>
      </c>
      <c r="G49" s="30">
        <f ca="1">G41/G55</f>
        <v>2.6207603294278412</v>
      </c>
      <c r="H49" s="30">
        <f t="shared" ca="1" si="38"/>
        <v>3.0944250653013179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6173.5495652319223</v>
      </c>
      <c r="C50" s="19">
        <f ca="1">ye_3/SUM(ye_1,ye_2,ye_3)</f>
        <v>0.15143964249660855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40765.743126804977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1202.8700613034218</v>
      </c>
      <c r="H52" s="56">
        <f ca="1">H40^0.5</f>
        <v>289.57449423466295</v>
      </c>
      <c r="I52" s="10">
        <f ca="1">I41^0.5</f>
        <v>447.29939137802984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0.73449821492671286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0.81018107219393765</v>
      </c>
      <c r="C55">
        <f ca="1">AVERAGE(B53:B55)/B55</f>
        <v>2.2010969376185523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6.8403375340361311E-2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0.10872554362709298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2.8401525921652886E-2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0"/>
      <c r="AM58" s="30"/>
      <c r="AN58" s="30"/>
      <c r="AO58" s="30"/>
      <c r="AP58" s="30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55.628569858041502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6.7555257984811359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28.525969852072915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24487.654004566433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0.22513595166163139</v>
      </c>
      <c r="E5" s="46">
        <v>9315</v>
      </c>
      <c r="F5" s="46">
        <f ca="1">ye_2</f>
        <v>9132.5017837424984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6944.2308249327034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0.26465786010982051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0.73755984497438787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0.34809491303599066</v>
      </c>
      <c r="R7" s="1">
        <f t="shared" ca="1" si="4"/>
        <v>0.28666981637689487</v>
      </c>
      <c r="S7" s="1">
        <f t="shared" ca="1" si="4"/>
        <v>0.23367420616045259</v>
      </c>
      <c r="T7" s="1">
        <f t="shared" ca="1" si="4"/>
        <v>0.18995007177435674</v>
      </c>
      <c r="U7" s="1">
        <f t="shared" ca="1" si="4"/>
        <v>0.15371750241926116</v>
      </c>
      <c r="V7" s="1">
        <f t="shared" ca="1" si="4"/>
        <v>0.12271909263749582</v>
      </c>
      <c r="W7" s="1">
        <f t="shared" ca="1" si="4"/>
        <v>9.5288835987713469E-2</v>
      </c>
      <c r="X7" s="1">
        <f t="shared" ca="1" si="4"/>
        <v>7.1286104490039373E-2</v>
      </c>
      <c r="Y7" s="1">
        <f t="shared" ca="1" si="4"/>
        <v>5.166383247085729E-2</v>
      </c>
      <c r="Z7" s="1">
        <f t="shared" ca="1" si="4"/>
        <v>3.6774757093103162E-2</v>
      </c>
      <c r="AA7" s="1">
        <f t="shared" ca="1" si="4"/>
        <v>2.5915622362892538E-2</v>
      </c>
      <c r="AB7" s="1">
        <f t="shared" ca="1" si="4"/>
        <v>1.8185564584877901E-2</v>
      </c>
      <c r="AC7" s="1">
        <f t="shared" ca="1" si="4"/>
        <v>1.2739352522182208E-2</v>
      </c>
      <c r="AD7" s="1">
        <f t="shared" ca="1" si="4"/>
        <v>8.9181376471470335E-3</v>
      </c>
      <c r="AE7" s="1">
        <f t="shared" ca="1" si="4"/>
        <v>6.241461908687013E-3</v>
      </c>
      <c r="AF7" s="1">
        <f t="shared" ca="1" si="4"/>
        <v>4.3677134580143873E-3</v>
      </c>
      <c r="AG7" s="1">
        <f t="shared" ca="1" si="4"/>
        <v>3.0563642027834001E-3</v>
      </c>
      <c r="AH7" s="1">
        <f t="shared" ca="1" si="4"/>
        <v>2.1387003848620826E-3</v>
      </c>
      <c r="AI7" s="1">
        <f ca="1">AH7*EXP(-AH8)/(1-EXP(-AI8))</f>
        <v>4.9843566083322454E-3</v>
      </c>
    </row>
    <row r="8" spans="1:35">
      <c r="A8" s="5"/>
      <c r="B8" s="25"/>
      <c r="C8" s="25"/>
      <c r="E8" t="s">
        <v>110</v>
      </c>
      <c r="F8">
        <f ca="1">SUMXMY2(E4:E6,F4:F6)</f>
        <v>292021.9861328961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0.15407718613123414</v>
      </c>
      <c r="M8" s="1">
        <f t="shared" ca="1" si="5"/>
        <v>0.17771778388825354</v>
      </c>
      <c r="N8" s="1">
        <f t="shared" ca="1" si="5"/>
        <v>0.19498879870488017</v>
      </c>
      <c r="O8" s="1">
        <f t="shared" ca="1" si="5"/>
        <v>0.19548341707276354</v>
      </c>
      <c r="P8" s="1">
        <f t="shared" ca="1" si="5"/>
        <v>0.18268204978669478</v>
      </c>
      <c r="Q8" s="1">
        <f t="shared" ca="1" si="5"/>
        <v>0.19414409331688542</v>
      </c>
      <c r="R8" s="1">
        <f t="shared" ca="1" si="5"/>
        <v>0.20440322401249245</v>
      </c>
      <c r="S8" s="1">
        <f t="shared" ca="1" si="5"/>
        <v>0.20716660637507983</v>
      </c>
      <c r="T8" s="1">
        <f t="shared" ca="1" si="5"/>
        <v>0.21164473952595517</v>
      </c>
      <c r="U8" s="1">
        <f t="shared" ca="1" si="5"/>
        <v>0.22521857413746177</v>
      </c>
      <c r="V8" s="1">
        <f t="shared" ca="1" si="5"/>
        <v>0.25298528601544429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0.33994631009620857</v>
      </c>
      <c r="Z8" s="1">
        <f t="shared" ca="1" si="5"/>
        <v>0.34996569434755997</v>
      </c>
      <c r="AA8" s="1">
        <f t="shared" ca="1" si="5"/>
        <v>0.35421784220787556</v>
      </c>
      <c r="AB8" s="1">
        <f t="shared" ca="1" si="5"/>
        <v>0.3559322982742823</v>
      </c>
      <c r="AC8" s="1">
        <f t="shared" ca="1" si="5"/>
        <v>0.35660868557644765</v>
      </c>
      <c r="AD8" s="1">
        <f t="shared" ca="1" si="5"/>
        <v>0.35687270566107809</v>
      </c>
      <c r="AE8" s="1">
        <f t="shared" ca="1" si="5"/>
        <v>0.35697479916092978</v>
      </c>
      <c r="AF8" s="1">
        <f t="shared" ca="1" si="5"/>
        <v>0.35701359551256928</v>
      </c>
      <c r="AG8" s="1">
        <f t="shared" ca="1" si="5"/>
        <v>0.35702769274586088</v>
      </c>
      <c r="AH8" s="1">
        <f t="shared" ca="1" si="5"/>
        <v>0.35703215881710093</v>
      </c>
      <c r="AI8" s="1">
        <f t="shared" ca="1" si="5"/>
        <v>0.35703287033438147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0.8572058540543589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0.83303297664754294</v>
      </c>
      <c r="Q10" s="1">
        <f t="shared" ca="1" si="6"/>
        <v>0.82353922921951794</v>
      </c>
      <c r="R10" s="1">
        <f t="shared" ca="1" si="6"/>
        <v>0.81513362346188867</v>
      </c>
      <c r="S10" s="1">
        <f t="shared" ca="1" si="6"/>
        <v>0.81288420701396258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0.77647930684421262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0.71180853866865545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0.69979013281092062</v>
      </c>
      <c r="AF10" s="1">
        <f t="shared" ca="1" si="6"/>
        <v>0.69976298403349435</v>
      </c>
      <c r="AG10" s="1">
        <f t="shared" ca="1" si="6"/>
        <v>0.69975311938099194</v>
      </c>
      <c r="AH10" s="1">
        <f t="shared" ca="1" si="6"/>
        <v>0.69974999424068896</v>
      </c>
      <c r="AI10" s="1">
        <f t="shared" ca="1" si="6"/>
        <v>0.69974949635665307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0.28363576736936597</v>
      </c>
      <c r="J11" t="s">
        <v>56</v>
      </c>
      <c r="K11" s="1">
        <f ca="1">1-sa</f>
        <v>0.13957675220494214</v>
      </c>
      <c r="L11" s="1">
        <f t="shared" ref="L11:AI11" ca="1" si="7">1-sa</f>
        <v>0.1427941459456411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0.16696702335245706</v>
      </c>
      <c r="Q11" s="1">
        <f t="shared" ca="1" si="7"/>
        <v>0.17646077078048206</v>
      </c>
      <c r="R11" s="1">
        <f t="shared" ca="1" si="7"/>
        <v>0.18486637653811133</v>
      </c>
      <c r="S11" s="1">
        <f t="shared" ca="1" si="7"/>
        <v>0.18711579298603742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0.22352069315578738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0.28819146133134455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0.30020986718907938</v>
      </c>
      <c r="AF11" s="1">
        <f t="shared" ca="1" si="7"/>
        <v>0.30023701596650565</v>
      </c>
      <c r="AG11" s="1">
        <f t="shared" ca="1" si="7"/>
        <v>0.30024688061900806</v>
      </c>
      <c r="AH11" s="1">
        <f t="shared" ca="1" si="7"/>
        <v>0.30025000575931104</v>
      </c>
      <c r="AI11" s="1">
        <f t="shared" ca="1" si="7"/>
        <v>0.30025050364334693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0.55044115511719194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0.16592307751344212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0.26465786010982051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1.8317494830052922E-2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1.9360081360862381E-5</v>
      </c>
      <c r="M22" s="1">
        <f t="shared" ca="1" si="17"/>
        <v>1.4883748448997301E-4</v>
      </c>
      <c r="N22" s="1">
        <f t="shared" ca="1" si="17"/>
        <v>8.1743926359859704E-4</v>
      </c>
      <c r="O22" s="1">
        <f t="shared" ca="1" si="17"/>
        <v>3.7387585920238726E-3</v>
      </c>
      <c r="P22" s="1">
        <f t="shared" ca="1" si="17"/>
        <v>1.5219713485545258E-2</v>
      </c>
      <c r="Q22" s="1">
        <f t="shared" ca="1" si="17"/>
        <v>5.6150303576070489E-2</v>
      </c>
      <c r="R22" s="1">
        <f t="shared" ca="1" si="17"/>
        <v>0.19387515157597354</v>
      </c>
      <c r="S22" s="1">
        <f t="shared" ca="1" si="17"/>
        <v>0.63320355557127472</v>
      </c>
      <c r="T22" s="1">
        <f t="shared" ca="1" si="17"/>
        <v>1.9339735053852367</v>
      </c>
      <c r="U22" s="1">
        <f t="shared" ca="1" si="17"/>
        <v>5.341815500855283</v>
      </c>
      <c r="V22" s="1">
        <f t="shared" ca="1" si="17"/>
        <v>12.547432765823478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45.558638509206808</v>
      </c>
      <c r="Z22" s="1">
        <f t="shared" ca="1" si="17"/>
        <v>53.556587977115029</v>
      </c>
      <c r="AA22" s="1">
        <f t="shared" ca="1" si="17"/>
        <v>60.238187219548806</v>
      </c>
      <c r="AB22" s="1">
        <f t="shared" ca="1" si="17"/>
        <v>66.198755547236615</v>
      </c>
      <c r="AC22" s="1">
        <f t="shared" ca="1" si="17"/>
        <v>71.751569484615985</v>
      </c>
      <c r="AD22" s="1">
        <f t="shared" ca="1" si="17"/>
        <v>77.034043493867259</v>
      </c>
      <c r="AE22" s="1">
        <f t="shared" ca="1" si="17"/>
        <v>82.098559403943781</v>
      </c>
      <c r="AF22" s="1">
        <f t="shared" ca="1" si="17"/>
        <v>86.961072532587764</v>
      </c>
      <c r="AG22" s="1">
        <f t="shared" ca="1" si="17"/>
        <v>91.623668278695249</v>
      </c>
      <c r="AH22" s="1">
        <f t="shared" ca="1" si="17"/>
        <v>96.084313769283682</v>
      </c>
      <c r="AI22" s="1">
        <f t="shared" ca="1" si="17"/>
        <v>100.34080989113323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3.8923952920294554E-2</v>
      </c>
      <c r="M23" s="1">
        <f t="shared" ca="1" si="18"/>
        <v>0.79988447549817576</v>
      </c>
      <c r="N23" s="1">
        <f t="shared" ca="1" si="18"/>
        <v>2.7516225537514747</v>
      </c>
      <c r="O23" s="1">
        <f t="shared" ca="1" si="18"/>
        <v>4.7388694670856868</v>
      </c>
      <c r="P23" s="1">
        <f t="shared" ca="1" si="18"/>
        <v>5.5451676078242498</v>
      </c>
      <c r="Q23" s="1">
        <f t="shared" ca="1" si="18"/>
        <v>7.3404926125067629</v>
      </c>
      <c r="R23" s="1">
        <f t="shared" ca="1" si="18"/>
        <v>9.1350700134265761</v>
      </c>
      <c r="S23" s="1">
        <f t="shared" ca="1" si="18"/>
        <v>10.881576181089814</v>
      </c>
      <c r="T23" s="1">
        <f t="shared" ca="1" si="18"/>
        <v>12.478125060922169</v>
      </c>
      <c r="U23" s="1">
        <f t="shared" ca="1" si="18"/>
        <v>13.826335023287237</v>
      </c>
      <c r="V23" s="1">
        <f t="shared" ca="1" si="18"/>
        <v>14.847898885759141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16.446358725668208</v>
      </c>
      <c r="Z23" s="1">
        <f t="shared" ca="1" si="18"/>
        <v>18.195855302916716</v>
      </c>
      <c r="AA23" s="1">
        <f t="shared" ca="1" si="18"/>
        <v>19.967268472056983</v>
      </c>
      <c r="AB23" s="1">
        <f t="shared" ca="1" si="18"/>
        <v>21.729556772310062</v>
      </c>
      <c r="AC23" s="1">
        <f t="shared" ca="1" si="18"/>
        <v>23.462202423072416</v>
      </c>
      <c r="AD23" s="1">
        <f t="shared" ca="1" si="18"/>
        <v>25.151992639049215</v>
      </c>
      <c r="AE23" s="1">
        <f t="shared" ca="1" si="18"/>
        <v>26.790144239262247</v>
      </c>
      <c r="AF23" s="1">
        <f t="shared" ca="1" si="18"/>
        <v>28.370655309669004</v>
      </c>
      <c r="AG23" s="1">
        <f t="shared" ca="1" si="18"/>
        <v>29.889429641479012</v>
      </c>
      <c r="AH23" s="1">
        <f t="shared" ca="1" si="18"/>
        <v>31.343789883745892</v>
      </c>
      <c r="AI23" s="1">
        <f t="shared" ca="1" si="18"/>
        <v>32.732175726260124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9.9326286214240734E-4</v>
      </c>
      <c r="M24" s="1">
        <f t="shared" ca="1" si="19"/>
        <v>1.0637117439866103E-2</v>
      </c>
      <c r="N24" s="1">
        <f t="shared" ca="1" si="19"/>
        <v>8.0651598905731828E-2</v>
      </c>
      <c r="O24" s="1">
        <f t="shared" ca="1" si="19"/>
        <v>0.49186943898922891</v>
      </c>
      <c r="P24" s="1">
        <f t="shared" ca="1" si="19"/>
        <v>0.2702216145783472</v>
      </c>
      <c r="Q24" s="1">
        <f t="shared" ca="1" si="19"/>
        <v>5.9681734960742316</v>
      </c>
      <c r="R24" s="1">
        <f t="shared" ca="1" si="19"/>
        <v>14.408709040160071</v>
      </c>
      <c r="S24" s="1">
        <f t="shared" ca="1" si="19"/>
        <v>19.828633735591421</v>
      </c>
      <c r="T24" s="1">
        <f t="shared" ca="1" si="19"/>
        <v>23.266341244905384</v>
      </c>
      <c r="U24" s="1">
        <f t="shared" ca="1" si="19"/>
        <v>25.532476243999035</v>
      </c>
      <c r="V24" s="1">
        <f t="shared" ca="1" si="19"/>
        <v>26.928444751209721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28.042347196354278</v>
      </c>
      <c r="Z24" s="1">
        <f t="shared" ca="1" si="19"/>
        <v>31.025377741679002</v>
      </c>
      <c r="AA24" s="1">
        <f t="shared" ca="1" si="19"/>
        <v>34.045777815994384</v>
      </c>
      <c r="AB24" s="1">
        <f t="shared" ca="1" si="19"/>
        <v>37.050619264493299</v>
      </c>
      <c r="AC24" s="1">
        <f t="shared" ca="1" si="19"/>
        <v>40.004917642474062</v>
      </c>
      <c r="AD24" s="1">
        <f t="shared" ca="1" si="19"/>
        <v>42.88614410213215</v>
      </c>
      <c r="AE24" s="1">
        <f t="shared" ca="1" si="19"/>
        <v>45.679322622660301</v>
      </c>
      <c r="AF24" s="1">
        <f t="shared" ca="1" si="19"/>
        <v>48.374219464163254</v>
      </c>
      <c r="AG24" s="1">
        <f t="shared" ca="1" si="19"/>
        <v>50.963850265481966</v>
      </c>
      <c r="AH24" s="1">
        <f t="shared" ca="1" si="19"/>
        <v>53.443649930715452</v>
      </c>
      <c r="AI24" s="1">
        <f t="shared" ca="1" si="19"/>
        <v>55.810958007093618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4.161436940416291E-5</v>
      </c>
      <c r="M26">
        <f t="shared" ca="1" si="20"/>
        <v>1.0553787522207281E-4</v>
      </c>
      <c r="N26">
        <f t="shared" ca="1" si="20"/>
        <v>2.684613275145134E-4</v>
      </c>
      <c r="O26">
        <f t="shared" ca="1" si="20"/>
        <v>6.882759827569661E-4</v>
      </c>
      <c r="P26">
        <f t="shared" ca="1" si="20"/>
        <v>1.774702897835771E-3</v>
      </c>
      <c r="Q26">
        <f t="shared" ca="1" si="20"/>
        <v>4.5142170202072205E-3</v>
      </c>
      <c r="R26">
        <f t="shared" ca="1" si="20"/>
        <v>1.1435389428486946E-2</v>
      </c>
      <c r="S26">
        <f t="shared" ca="1" si="20"/>
        <v>2.8730652752654955E-2</v>
      </c>
      <c r="T26">
        <f t="shared" ca="1" si="20"/>
        <v>7.0063042202891543E-2</v>
      </c>
      <c r="U26">
        <f t="shared" ca="1" si="20"/>
        <v>0.15920680803490253</v>
      </c>
      <c r="V26">
        <f t="shared" ca="1" si="20"/>
        <v>0.31529174946895522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0.76607092066293669</v>
      </c>
      <c r="Z26">
        <f t="shared" ca="1" si="20"/>
        <v>0.81013534835615753</v>
      </c>
      <c r="AA26">
        <f t="shared" ca="1" si="20"/>
        <v>0.8287072189596828</v>
      </c>
      <c r="AB26">
        <f t="shared" ca="1" si="20"/>
        <v>0.83617376821888501</v>
      </c>
      <c r="AC26">
        <f t="shared" ca="1" si="20"/>
        <v>0.8391160667100902</v>
      </c>
      <c r="AD26">
        <f t="shared" ca="1" si="20"/>
        <v>0.84026403711567688</v>
      </c>
      <c r="AE26">
        <f t="shared" ca="1" si="20"/>
        <v>0.84070786533170938</v>
      </c>
      <c r="AF26">
        <f t="shared" ca="1" si="20"/>
        <v>0.84087651213253345</v>
      </c>
      <c r="AG26">
        <f t="shared" ca="1" si="20"/>
        <v>0.84093779089637077</v>
      </c>
      <c r="AH26">
        <f t="shared" ca="1" si="20"/>
        <v>0.84095720412886921</v>
      </c>
      <c r="AI26">
        <f t="shared" ca="1" si="20"/>
        <v>0.84096029696260577</v>
      </c>
      <c r="AM26" s="43"/>
    </row>
    <row r="27" spans="1:39">
      <c r="A27" t="s">
        <v>14</v>
      </c>
      <c r="B27" s="27">
        <f ca="1">fbar*C27</f>
        <v>0.17733080709272392</v>
      </c>
      <c r="C27" s="35">
        <f ca="1">CHOOSE(C$25,E36,E39,1)</f>
        <v>2.1358168973407969</v>
      </c>
      <c r="E27" s="41">
        <f ca="1">f1_/(F4/(f1_*365*re*phib))</f>
        <v>214.28701780708394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8.3666784519299695E-2</v>
      </c>
      <c r="M27">
        <f t="shared" ca="1" si="21"/>
        <v>0.56718311423011702</v>
      </c>
      <c r="N27">
        <f t="shared" ca="1" si="21"/>
        <v>0.90368089287394027</v>
      </c>
      <c r="O27">
        <f t="shared" ca="1" si="21"/>
        <v>0.87238851060714739</v>
      </c>
      <c r="P27">
        <f t="shared" ca="1" si="21"/>
        <v>0.64659725900472065</v>
      </c>
      <c r="Q27">
        <f t="shared" ca="1" si="21"/>
        <v>0.5901406506768232</v>
      </c>
      <c r="R27">
        <f t="shared" ca="1" si="21"/>
        <v>0.53881625474366468</v>
      </c>
      <c r="S27">
        <f t="shared" ca="1" si="21"/>
        <v>0.49373504603649027</v>
      </c>
      <c r="T27">
        <f t="shared" ca="1" si="21"/>
        <v>0.4520513855654924</v>
      </c>
      <c r="U27">
        <f t="shared" ca="1" si="21"/>
        <v>0.41207837775870343</v>
      </c>
      <c r="V27">
        <f t="shared" ca="1" si="21"/>
        <v>0.37309783626658172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0.27654639345685139</v>
      </c>
      <c r="Z27">
        <f t="shared" ca="1" si="21"/>
        <v>0.27524355324438537</v>
      </c>
      <c r="AA27">
        <f t="shared" ca="1" si="21"/>
        <v>0.2746931853276251</v>
      </c>
      <c r="AB27">
        <f t="shared" ca="1" si="21"/>
        <v>0.274471705968303</v>
      </c>
      <c r="AC27">
        <f t="shared" ca="1" si="21"/>
        <v>0.27438439542183962</v>
      </c>
      <c r="AD27">
        <f t="shared" ca="1" si="21"/>
        <v>0.27435032510105484</v>
      </c>
      <c r="AE27">
        <f t="shared" ca="1" si="21"/>
        <v>0.2743371520625833</v>
      </c>
      <c r="AF27">
        <f t="shared" ca="1" si="21"/>
        <v>0.27433214642987458</v>
      </c>
      <c r="AG27">
        <f t="shared" ca="1" si="21"/>
        <v>0.27433032758962789</v>
      </c>
      <c r="AH27">
        <f t="shared" ca="1" si="21"/>
        <v>0.27432975137575555</v>
      </c>
      <c r="AI27">
        <f t="shared" ca="1" si="21"/>
        <v>0.27432965957573285</v>
      </c>
    </row>
    <row r="28" spans="1:39">
      <c r="A28" t="s">
        <v>15</v>
      </c>
      <c r="B28" s="27">
        <f ca="1">fbar*C28</f>
        <v>4.4375909939816216E-2</v>
      </c>
      <c r="C28" s="35">
        <f ca="1">CHOOSE(C$25,E37,E40,1)</f>
        <v>0.53447463437514398</v>
      </c>
      <c r="E28" s="41">
        <f ca="1">f2_/(F5/(f2_*365*re*phib))</f>
        <v>35.98151431430869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2.1350120844114617E-3</v>
      </c>
      <c r="M28">
        <f t="shared" ca="1" si="22"/>
        <v>7.5425809360998228E-3</v>
      </c>
      <c r="N28">
        <f t="shared" ca="1" si="22"/>
        <v>2.6487393342330277E-2</v>
      </c>
      <c r="O28">
        <f t="shared" ca="1" si="22"/>
        <v>9.0549286126860876E-2</v>
      </c>
      <c r="P28">
        <f t="shared" ca="1" si="22"/>
        <v>3.1509337078225091E-2</v>
      </c>
      <c r="Q28">
        <f t="shared" ca="1" si="22"/>
        <v>0.47981272868860514</v>
      </c>
      <c r="R28">
        <f t="shared" ca="1" si="22"/>
        <v>0.84987270259553049</v>
      </c>
      <c r="S28">
        <f t="shared" ca="1" si="22"/>
        <v>0.89969423798147174</v>
      </c>
      <c r="T28">
        <f t="shared" ca="1" si="22"/>
        <v>0.84288158240511835</v>
      </c>
      <c r="U28">
        <f t="shared" ca="1" si="22"/>
        <v>0.760966761840281</v>
      </c>
      <c r="V28">
        <f t="shared" ca="1" si="22"/>
        <v>0.67665765695217139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0.47153355405736114</v>
      </c>
      <c r="Z28">
        <f t="shared" ca="1" si="22"/>
        <v>0.46931210807112445</v>
      </c>
      <c r="AA28">
        <f t="shared" ca="1" si="22"/>
        <v>0.46837368708293103</v>
      </c>
      <c r="AB28">
        <f t="shared" ca="1" si="22"/>
        <v>0.46799604719348575</v>
      </c>
      <c r="AC28">
        <f t="shared" ca="1" si="22"/>
        <v>0.46784717578075136</v>
      </c>
      <c r="AD28">
        <f t="shared" ca="1" si="22"/>
        <v>0.46778908317919293</v>
      </c>
      <c r="AE28">
        <f t="shared" ca="1" si="22"/>
        <v>0.46776662210287739</v>
      </c>
      <c r="AF28">
        <f t="shared" ca="1" si="22"/>
        <v>0.46775808710174449</v>
      </c>
      <c r="AG28">
        <f t="shared" ca="1" si="22"/>
        <v>0.4677549858347379</v>
      </c>
      <c r="AH28">
        <f t="shared" ca="1" si="22"/>
        <v>0.46775400334434381</v>
      </c>
      <c r="AI28">
        <f t="shared" ca="1" si="22"/>
        <v>0.46775384681801768</v>
      </c>
    </row>
    <row r="29" spans="1:39">
      <c r="A29" t="s">
        <v>19</v>
      </c>
      <c r="B29" s="27">
        <f ca="1">fbar*C29</f>
        <v>2.7374757105308546E-2</v>
      </c>
      <c r="C29" s="35">
        <f ca="1">CHOOSE(C$25,E38,E41,1)</f>
        <v>0.3297084682840592</v>
      </c>
      <c r="E29" s="41">
        <f ca="1">f3_/(F6/(f3_*365*re*phib))</f>
        <v>18.007402016540144</v>
      </c>
    </row>
    <row r="30" spans="1:39">
      <c r="A30" t="s">
        <v>94</v>
      </c>
      <c r="B30" s="27">
        <v>8.3027158045949553E-2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0.24908147413784867</v>
      </c>
      <c r="G31">
        <f ca="1">SUMPRODUCT(dlz1_,wa,ma)</f>
        <v>-66.848672909861094</v>
      </c>
      <c r="H31">
        <f ca="1">Ro/(reck-1)*phie/phif^2*dphif</f>
        <v>-8841.4247781274717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-1.0874496700883636E-4</v>
      </c>
      <c r="O31">
        <f t="shared" ca="1" si="23"/>
        <v>-2.3956608718024512E-4</v>
      </c>
      <c r="P31">
        <f t="shared" ca="1" si="23"/>
        <v>-5.1619895921570962E-4</v>
      </c>
      <c r="Q31">
        <f t="shared" ca="1" si="23"/>
        <v>-1.1010195241920966E-3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-9.96014928693836E-3</v>
      </c>
      <c r="U31">
        <f t="shared" ca="1" si="23"/>
        <v>-1.990138828729119E-2</v>
      </c>
      <c r="V31">
        <f t="shared" ca="1" si="23"/>
        <v>-3.727337458830398E-2</v>
      </c>
      <c r="W31">
        <f t="shared" ca="1" si="23"/>
        <v>-6.188858555855857E-2</v>
      </c>
      <c r="X31">
        <f t="shared" ca="1" si="23"/>
        <v>-8.6726747031121695E-2</v>
      </c>
      <c r="Y31">
        <f t="shared" ca="1" si="23"/>
        <v>-0.10229432730133595</v>
      </c>
      <c r="Z31">
        <f t="shared" ca="1" si="23"/>
        <v>-0.10531941921003773</v>
      </c>
      <c r="AA31">
        <f t="shared" ca="1" si="23"/>
        <v>-9.8787764935441336E-2</v>
      </c>
      <c r="AB31">
        <f t="shared" ca="1" si="23"/>
        <v>-8.709968626566518E-2</v>
      </c>
      <c r="AC31">
        <f t="shared" ca="1" si="23"/>
        <v>-7.3634106793823872E-2</v>
      </c>
      <c r="AD31">
        <f t="shared" ca="1" si="23"/>
        <v>-6.0430486304834052E-2</v>
      </c>
      <c r="AE31">
        <f t="shared" ca="1" si="23"/>
        <v>-4.8524481948209103E-2</v>
      </c>
      <c r="AF31">
        <f t="shared" ca="1" si="23"/>
        <v>-3.8321918924664182E-2</v>
      </c>
      <c r="AG31">
        <f t="shared" ca="1" si="23"/>
        <v>-2.9871913945975125E-2</v>
      </c>
      <c r="AH31">
        <f t="shared" ca="1" si="23"/>
        <v>-2.3041509302971021E-2</v>
      </c>
      <c r="AI31">
        <f ca="1">(AH31*sa-AH$7*AH18*AH$10)/oa-AH$7*AH$10*flt1_*sa/oa^2</f>
        <v>-7.0300080422182554E-2</v>
      </c>
    </row>
    <row r="32" spans="1:39">
      <c r="A32" s="11" t="s">
        <v>22</v>
      </c>
      <c r="B32" s="11"/>
      <c r="C32" s="11"/>
      <c r="G32">
        <f ca="1">SUMPRODUCT(dlz2_,wa,ma)</f>
        <v>-170.04456820852698</v>
      </c>
      <c r="H32">
        <f ca="1">Ro/(reck-1)*phie/phif^2*dphif</f>
        <v>-22490.143682763817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-0.44119165140935934</v>
      </c>
      <c r="O32">
        <f t="shared" ca="1" si="24"/>
        <v>-0.86821300433379911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-1.141790058882564</v>
      </c>
      <c r="S32">
        <f t="shared" ca="1" si="24"/>
        <v>-1.0673565825866189</v>
      </c>
      <c r="T32">
        <f t="shared" ca="1" si="24"/>
        <v>-0.96759535123688234</v>
      </c>
      <c r="U32">
        <f t="shared" ca="1" si="24"/>
        <v>-0.84957252891428836</v>
      </c>
      <c r="V32">
        <f t="shared" ca="1" si="24"/>
        <v>-0.71615358754291947</v>
      </c>
      <c r="W32">
        <f t="shared" ca="1" si="24"/>
        <v>-0.57599700021930555</v>
      </c>
      <c r="X32">
        <f t="shared" ca="1" si="24"/>
        <v>-0.4450684669055382</v>
      </c>
      <c r="Y32">
        <f t="shared" ca="1" si="24"/>
        <v>-0.33517109724865524</v>
      </c>
      <c r="Z32">
        <f t="shared" ca="1" si="24"/>
        <v>-0.24819547523911129</v>
      </c>
      <c r="AA32">
        <f t="shared" ca="1" si="24"/>
        <v>-0.1826181808444457</v>
      </c>
      <c r="AB32">
        <f t="shared" ca="1" si="24"/>
        <v>-0.13386000862727188</v>
      </c>
      <c r="AC32">
        <f t="shared" ca="1" si="24"/>
        <v>-9.7863918505048067E-2</v>
      </c>
      <c r="AD32">
        <f t="shared" ca="1" si="24"/>
        <v>-7.1400382031725815E-2</v>
      </c>
      <c r="AE32">
        <f t="shared" ca="1" si="24"/>
        <v>-5.200130988494199E-2</v>
      </c>
      <c r="AF32">
        <f t="shared" ca="1" si="24"/>
        <v>-3.781338342560852E-2</v>
      </c>
      <c r="AG32">
        <f t="shared" ca="1" si="24"/>
        <v>-2.7457049460859553E-2</v>
      </c>
      <c r="AH32">
        <f t="shared" ca="1" si="24"/>
        <v>-1.9910735576171696E-2</v>
      </c>
      <c r="AI32">
        <f ca="1">(AH32*sa-AH$7*AH19*AH$10)/oa-AH$7*AH$10*flt2_*sa/oa^2</f>
        <v>-5.1818311007088599E-2</v>
      </c>
    </row>
    <row r="33" spans="1:35">
      <c r="A33" s="58" t="s">
        <v>127</v>
      </c>
      <c r="B33" s="59">
        <f ca="1">SUMPRODUCT(lz,wa)</f>
        <v>60.499614666018886</v>
      </c>
      <c r="C33" s="58"/>
      <c r="D33" s="60"/>
      <c r="E33" s="60"/>
      <c r="G33">
        <f ca="1">SUMPRODUCT(dlz3_,wa,ma)</f>
        <v>-149.11236131531214</v>
      </c>
      <c r="H33">
        <f ca="1">Ro/(reck-1)*phie/phif^2*dphif</f>
        <v>-19721.643955983753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-6.8623676153447503E-3</v>
      </c>
      <c r="O33">
        <f t="shared" ca="1" si="25"/>
        <v>-2.0456269444451194E-2</v>
      </c>
      <c r="P33">
        <f t="shared" ca="1" si="25"/>
        <v>-5.869678083879027E-2</v>
      </c>
      <c r="Q33">
        <f t="shared" ca="1" si="25"/>
        <v>-6.0339678268901457E-2</v>
      </c>
      <c r="R33">
        <f t="shared" ca="1" si="25"/>
        <v>-0.20051654222613255</v>
      </c>
      <c r="S33">
        <f t="shared" ca="1" si="25"/>
        <v>-0.38257758389408636</v>
      </c>
      <c r="T33">
        <f t="shared" ca="1" si="25"/>
        <v>-0.49881156482393996</v>
      </c>
      <c r="U33">
        <f t="shared" ca="1" si="25"/>
        <v>-0.54198195089785617</v>
      </c>
      <c r="V33">
        <f t="shared" ca="1" si="25"/>
        <v>-0.52513335642850001</v>
      </c>
      <c r="W33">
        <f t="shared" ca="1" si="25"/>
        <v>-0.46583259169849556</v>
      </c>
      <c r="X33">
        <f t="shared" ca="1" si="25"/>
        <v>-0.38670055389274638</v>
      </c>
      <c r="Y33">
        <f t="shared" ca="1" si="25"/>
        <v>-0.30723434836505997</v>
      </c>
      <c r="Z33">
        <f t="shared" ca="1" si="25"/>
        <v>-0.23696644394041802</v>
      </c>
      <c r="AA33">
        <f t="shared" ca="1" si="25"/>
        <v>-0.18069921630540162</v>
      </c>
      <c r="AB33">
        <f t="shared" ca="1" si="25"/>
        <v>-0.1366984866404381</v>
      </c>
      <c r="AC33">
        <f t="shared" ca="1" si="25"/>
        <v>-0.10278108578561571</v>
      </c>
      <c r="AD33">
        <f t="shared" ca="1" si="25"/>
        <v>-7.6892925112455712E-2</v>
      </c>
      <c r="AE33">
        <f t="shared" ca="1" si="25"/>
        <v>-5.7280498041224953E-2</v>
      </c>
      <c r="AF33">
        <f t="shared" ca="1" si="25"/>
        <v>-4.2512155099078089E-2</v>
      </c>
      <c r="AG33">
        <f t="shared" ca="1" si="25"/>
        <v>-3.1448005343639243E-2</v>
      </c>
      <c r="AH33">
        <f t="shared" ca="1" si="25"/>
        <v>-2.319531640398128E-2</v>
      </c>
      <c r="AI33">
        <f ca="1">(AH33*sa-AH$7*AH20*AH$10)/oa-AH$7*AH$10*flt3_*sa/oa^2</f>
        <v>-6.3291415284531721E-2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26.217357988882686</v>
      </c>
      <c r="F35" s="36"/>
      <c r="G35" s="1">
        <f ca="1">SUM(dqa11_)</f>
        <v>863.83604493947132</v>
      </c>
      <c r="H35" s="1">
        <f ca="1">SUM(dqa12_)</f>
        <v>867.45838174006201</v>
      </c>
      <c r="I35" s="10">
        <f ca="1">SUM(dqa13_)</f>
        <v>865.1556922531023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5.0492711972962612E-10</v>
      </c>
      <c r="M35">
        <f t="shared" ca="1" si="26"/>
        <v>1.1009515921950267E-8</v>
      </c>
      <c r="N35">
        <f t="shared" ca="1" si="26"/>
        <v>1.6939078083748607E-7</v>
      </c>
      <c r="O35">
        <f t="shared" ca="1" si="26"/>
        <v>2.136740909002942E-6</v>
      </c>
      <c r="P35">
        <f t="shared" ca="1" si="26"/>
        <v>2.3566086423250759E-5</v>
      </c>
      <c r="Q35">
        <f t="shared" ca="1" si="26"/>
        <v>2.3190759175318018E-4</v>
      </c>
      <c r="R35">
        <f t="shared" ca="1" si="26"/>
        <v>2.1119359568149247E-3</v>
      </c>
      <c r="S35">
        <f t="shared" ca="1" si="26"/>
        <v>1.7869681392913932E-2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4.214425753271378</v>
      </c>
      <c r="W35">
        <f t="shared" ca="1" si="26"/>
        <v>13.222664563766442</v>
      </c>
      <c r="X35">
        <f t="shared" ca="1" si="26"/>
        <v>26.902675757011799</v>
      </c>
      <c r="Y35">
        <f t="shared" ca="1" si="26"/>
        <v>40.165536359444395</v>
      </c>
      <c r="Z35">
        <f t="shared" ca="1" si="26"/>
        <v>50.531706018927679</v>
      </c>
      <c r="AA35">
        <f t="shared" ca="1" si="26"/>
        <v>58.559023350193328</v>
      </c>
      <c r="AB35">
        <f t="shared" ca="1" si="26"/>
        <v>65.225113479790451</v>
      </c>
      <c r="AC35">
        <f t="shared" ca="1" si="26"/>
        <v>71.151028063928806</v>
      </c>
      <c r="AD35">
        <f t="shared" ca="1" si="26"/>
        <v>76.641637095130193</v>
      </c>
      <c r="AE35">
        <f t="shared" ca="1" si="26"/>
        <v>81.830747147788188</v>
      </c>
      <c r="AF35">
        <f t="shared" ca="1" si="26"/>
        <v>86.772995328893515</v>
      </c>
      <c r="AG35">
        <f t="shared" ca="1" si="26"/>
        <v>91.489282696348141</v>
      </c>
      <c r="AH35">
        <f t="shared" ca="1" si="26"/>
        <v>95.987270761656248</v>
      </c>
      <c r="AI35">
        <f t="shared" ca="1" si="26"/>
        <v>100.10557988804318</v>
      </c>
    </row>
    <row r="36" spans="1:35">
      <c r="A36" t="s">
        <v>33</v>
      </c>
      <c r="B36" s="1">
        <f ca="1">SUMPRODUCT(lz,ta1_)</f>
        <v>0.32757542724087346</v>
      </c>
      <c r="C36" s="28">
        <f ca="1">B11/(phi_t1/SUM(B$36:B$38))</f>
        <v>4.1750065860662451</v>
      </c>
      <c r="E36" s="37">
        <f ca="1">C36/AVERAGE(C$36:C$38)</f>
        <v>2.2821892145579081</v>
      </c>
      <c r="G36" s="1">
        <f ca="1">SUM(dqa21_)</f>
        <v>867.45838174006201</v>
      </c>
      <c r="H36" s="1">
        <f ca="1">SUM(dqa22_)</f>
        <v>140.3384277753955</v>
      </c>
      <c r="I36" s="10">
        <f ca="1">SUM(dqa23_)</f>
        <v>862.96038765673075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2.0410245019781776E-3</v>
      </c>
      <c r="M36">
        <f t="shared" ca="1" si="27"/>
        <v>0.31797876401714148</v>
      </c>
      <c r="N36">
        <f t="shared" ca="1" si="27"/>
        <v>1.919360278610859</v>
      </c>
      <c r="O36">
        <f t="shared" ca="1" si="27"/>
        <v>3.4327842505551374</v>
      </c>
      <c r="P36">
        <f t="shared" ca="1" si="27"/>
        <v>3.1282673912263874</v>
      </c>
      <c r="Q36">
        <f t="shared" ca="1" si="27"/>
        <v>3.9633384503455247</v>
      </c>
      <c r="R36">
        <f t="shared" ca="1" si="27"/>
        <v>4.6887837593406374</v>
      </c>
      <c r="S36">
        <f t="shared" ca="1" si="27"/>
        <v>5.277323695757719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5.9014489596109669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5.234215683415794</v>
      </c>
      <c r="Z36">
        <f t="shared" ca="1" si="27"/>
        <v>5.8328808932098433</v>
      </c>
      <c r="AA36">
        <f t="shared" ca="1" si="27"/>
        <v>6.4340932623799194</v>
      </c>
      <c r="AB36">
        <f t="shared" ca="1" si="27"/>
        <v>7.027760108825821</v>
      </c>
      <c r="AC36">
        <f t="shared" ca="1" si="27"/>
        <v>7.6077445917436073</v>
      </c>
      <c r="AD36">
        <f t="shared" ca="1" si="27"/>
        <v>8.1704161715872328</v>
      </c>
      <c r="AE36">
        <f t="shared" ca="1" si="27"/>
        <v>8.7135584170305993</v>
      </c>
      <c r="AF36">
        <f t="shared" ca="1" si="27"/>
        <v>9.2357793526131893</v>
      </c>
      <c r="AG36">
        <f t="shared" ca="1" si="27"/>
        <v>9.7362143683899696</v>
      </c>
      <c r="AH36">
        <f t="shared" ca="1" si="27"/>
        <v>10.2143720473755</v>
      </c>
      <c r="AI36">
        <f t="shared" ca="1" si="27"/>
        <v>10.652531564541087</v>
      </c>
    </row>
    <row r="37" spans="1:35">
      <c r="A37" t="s">
        <v>34</v>
      </c>
      <c r="B37" s="1">
        <f ca="1">SUMPRODUCT(lz,ta2_)</f>
        <v>2.540376794941964</v>
      </c>
      <c r="C37" s="28">
        <f ca="1">B12/(phi_t2/SUM(B$36:B$38))</f>
        <v>0.85570564988588949</v>
      </c>
      <c r="E37" s="37">
        <f ca="1">C37/AVERAGE(C$36:C$38)</f>
        <v>0.46775547888317903</v>
      </c>
      <c r="G37" s="1">
        <f ca="1">SUM(dqa31_)</f>
        <v>865.1556922531023</v>
      </c>
      <c r="H37" s="1">
        <f ca="1">SUM(dqa32_)</f>
        <v>862.96038765673075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1.3290543351448724E-6</v>
      </c>
      <c r="M37">
        <f t="shared" ca="1" si="28"/>
        <v>5.6233030540588086E-5</v>
      </c>
      <c r="N37">
        <f t="shared" ca="1" si="28"/>
        <v>1.648939589178349E-3</v>
      </c>
      <c r="O37">
        <f t="shared" ca="1" si="28"/>
        <v>3.6982536624285703E-2</v>
      </c>
      <c r="P37">
        <f t="shared" ca="1" si="28"/>
        <v>7.4287318384967669E-3</v>
      </c>
      <c r="Q37">
        <f t="shared" ca="1" si="28"/>
        <v>2.6199537700694995</v>
      </c>
      <c r="R37">
        <f t="shared" ca="1" si="28"/>
        <v>11.665049520621142</v>
      </c>
      <c r="S37">
        <f t="shared" ca="1" si="28"/>
        <v>17.523292132516886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19.411146875125883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15.217412769932043</v>
      </c>
      <c r="Z37">
        <f t="shared" ca="1" si="28"/>
        <v>16.957909562469418</v>
      </c>
      <c r="AA37">
        <f t="shared" ca="1" si="28"/>
        <v>18.705811700517984</v>
      </c>
      <c r="AB37">
        <f t="shared" ca="1" si="28"/>
        <v>20.431776772766511</v>
      </c>
      <c r="AC37">
        <f t="shared" ca="1" si="28"/>
        <v>22.117963168309906</v>
      </c>
      <c r="AD37">
        <f t="shared" ca="1" si="28"/>
        <v>23.753815835122921</v>
      </c>
      <c r="AE37">
        <f t="shared" ca="1" si="28"/>
        <v>25.332890951933098</v>
      </c>
      <c r="AF37">
        <f t="shared" ca="1" si="28"/>
        <v>26.851141634464071</v>
      </c>
      <c r="AG37">
        <f t="shared" ca="1" si="28"/>
        <v>28.306054205937059</v>
      </c>
      <c r="AH37">
        <f t="shared" ca="1" si="28"/>
        <v>29.696199971861446</v>
      </c>
      <c r="AI37">
        <f t="shared" ca="1" si="28"/>
        <v>30.970059253760891</v>
      </c>
    </row>
    <row r="38" spans="1:35">
      <c r="A38" t="s">
        <v>35</v>
      </c>
      <c r="B38" s="1">
        <f ca="1">SUMPRODUCT(lz,ta3_)</f>
        <v>1.2413408028844499</v>
      </c>
      <c r="C38" s="28">
        <f ca="1">B13/(phi_t3/SUM(B$36:B$38))</f>
        <v>0.45744785099534591</v>
      </c>
      <c r="E38" s="37">
        <f ca="1">C38/AVERAGE(C$36:C$38)</f>
        <v>0.25005530655891206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-7.3174716466439264E-7</v>
      </c>
      <c r="M38">
        <f t="shared" ca="1" si="29"/>
        <v>-3.2956837929809009E-5</v>
      </c>
      <c r="N38">
        <f t="shared" ca="1" si="29"/>
        <v>-2.4262659985416538E-4</v>
      </c>
      <c r="O38">
        <f t="shared" ca="1" si="29"/>
        <v>-8.796812593249826E-4</v>
      </c>
      <c r="P38">
        <f t="shared" ca="1" si="29"/>
        <v>-2.1516203498859608E-3</v>
      </c>
      <c r="Q38">
        <f t="shared" ca="1" si="29"/>
        <v>-5.8612244349712005E-3</v>
      </c>
      <c r="R38">
        <f t="shared" ca="1" si="29"/>
        <v>-1.3540641839430854E-2</v>
      </c>
      <c r="S38">
        <f t="shared" ca="1" si="29"/>
        <v>-1.8904361175512897E-2</v>
      </c>
      <c r="T38">
        <f t="shared" ca="1" si="29"/>
        <v>6.1462923049829837E-2</v>
      </c>
      <c r="U38">
        <f t="shared" ca="1" si="29"/>
        <v>0.76794929408444768</v>
      </c>
      <c r="V38">
        <f t="shared" ca="1" si="29"/>
        <v>4.1661755069409026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40.806672765953749</v>
      </c>
      <c r="Z38">
        <f t="shared" ca="1" si="29"/>
        <v>51.1196464168506</v>
      </c>
      <c r="AA38">
        <f t="shared" ca="1" si="29"/>
        <v>59.042308350111426</v>
      </c>
      <c r="AB38">
        <f t="shared" ca="1" si="29"/>
        <v>65.60316491531286</v>
      </c>
      <c r="AC38">
        <f t="shared" ca="1" si="29"/>
        <v>71.439680763602055</v>
      </c>
      <c r="AD38">
        <f t="shared" ca="1" si="29"/>
        <v>76.859055118734616</v>
      </c>
      <c r="AE38">
        <f t="shared" ca="1" si="29"/>
        <v>81.993049254468431</v>
      </c>
      <c r="AF38">
        <f t="shared" ca="1" si="29"/>
        <v>86.893337936327683</v>
      </c>
      <c r="AG38">
        <f t="shared" ca="1" si="29"/>
        <v>91.578019409408427</v>
      </c>
      <c r="AH38">
        <f t="shared" ca="1" si="29"/>
        <v>96.052389936735153</v>
      </c>
      <c r="AI38">
        <f t="shared" ca="1" si="29"/>
        <v>100.26406763458145</v>
      </c>
    </row>
    <row r="39" spans="1:35">
      <c r="A39" s="1" t="s">
        <v>36</v>
      </c>
      <c r="B39" s="1">
        <f ca="1">SUMPRODUCT(lz,qa1_)</f>
        <v>18.302347642941434</v>
      </c>
      <c r="C39" s="22">
        <f ca="1">B4/(phi_q1/SUM(B$39:B$41))</f>
        <v>2.6122937050394324</v>
      </c>
      <c r="D39" s="20"/>
      <c r="E39" s="38">
        <f ca="1">C39/AVERAGE(C$39:C$41)</f>
        <v>2.1358168973407965</v>
      </c>
      <c r="G39" s="1">
        <f ca="1">re*phi_q1+f1_*phi_q1*$H31+f1_*re*G35</f>
        <v>1265165.5346652637</v>
      </c>
      <c r="H39" s="1">
        <f ca="1">re*phi_q1+f1_*phi_q1*$H32+f1_*re*H35</f>
        <v>1225714.1720279695</v>
      </c>
      <c r="I39" s="1">
        <f ca="1">re*phi_q1+f1_*phi_q1*$H33+f1_*re*I35</f>
        <v>1231618.6449867119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-1.7825616818208317E-8</v>
      </c>
      <c r="M39">
        <f t="shared" ca="1" si="30"/>
        <v>-4.213533763905227E-7</v>
      </c>
      <c r="N39">
        <f t="shared" ca="1" si="30"/>
        <v>-6.87706037440306E-6</v>
      </c>
      <c r="O39">
        <f t="shared" ca="1" si="30"/>
        <v>-8.8767279896296081E-5</v>
      </c>
      <c r="P39">
        <f t="shared" ca="1" si="30"/>
        <v>-7.6738055150664847E-5</v>
      </c>
      <c r="Q39">
        <f t="shared" ca="1" si="30"/>
        <v>-4.7133209998224176E-3</v>
      </c>
      <c r="R39">
        <f t="shared" ca="1" si="30"/>
        <v>-2.277274631882914E-2</v>
      </c>
      <c r="S39">
        <f t="shared" ca="1" si="30"/>
        <v>-5.1008919371625452E-2</v>
      </c>
      <c r="T39">
        <f t="shared" ca="1" si="30"/>
        <v>-1.5381379991153465E-2</v>
      </c>
      <c r="U39">
        <f t="shared" ca="1" si="30"/>
        <v>0.61397244469027723</v>
      </c>
      <c r="V39">
        <f t="shared" ca="1" si="30"/>
        <v>3.912796720457886</v>
      </c>
      <c r="W39">
        <f t="shared" ca="1" si="30"/>
        <v>13.114380308082527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50.90633085584949</v>
      </c>
      <c r="AA39">
        <f t="shared" ca="1" si="30"/>
        <v>58.87335436051427</v>
      </c>
      <c r="AB39">
        <f t="shared" ca="1" si="30"/>
        <v>65.472914093879936</v>
      </c>
      <c r="AC39">
        <f t="shared" ca="1" si="30"/>
        <v>71.34079565289187</v>
      </c>
      <c r="AD39">
        <f t="shared" ca="1" si="30"/>
        <v>76.784738007173345</v>
      </c>
      <c r="AE39">
        <f t="shared" ca="1" si="30"/>
        <v>81.93761910996048</v>
      </c>
      <c r="AF39">
        <f t="shared" ca="1" si="30"/>
        <v>86.852251335780537</v>
      </c>
      <c r="AG39">
        <f t="shared" ca="1" si="30"/>
        <v>91.547727065044811</v>
      </c>
      <c r="AH39">
        <f t="shared" ca="1" si="30"/>
        <v>96.030160820113196</v>
      </c>
      <c r="AI39">
        <f t="shared" ca="1" si="30"/>
        <v>100.20996649436884</v>
      </c>
    </row>
    <row r="40" spans="1:35">
      <c r="A40" s="1" t="s">
        <v>37</v>
      </c>
      <c r="B40" s="1">
        <f ca="1">SUMPRODUCT(lz,qa2_)</f>
        <v>27.276353163440191</v>
      </c>
      <c r="C40" s="22">
        <f ca="1">B5/(phi_q2/SUM(B$39:B$41))</f>
        <v>0.65370993394601795</v>
      </c>
      <c r="D40" s="20"/>
      <c r="E40" s="38">
        <f ca="1">C40/AVERAGE(C$39:C$41)</f>
        <v>0.53447463437514409</v>
      </c>
      <c r="G40" s="1">
        <f ca="1">re*phi_q1+f1_*phi_q1*$H32+f1_*re*G36</f>
        <v>1225714.1720279695</v>
      </c>
      <c r="H40" s="1">
        <f ca="1">re*phi_q2+f2_*phi_q2*$H32+f2_*re*H36</f>
        <v>225563.52924498002</v>
      </c>
      <c r="I40" s="1">
        <f ca="1">re*phi_q3+f3_*phi_q3*$H33+f3_*re*I36</f>
        <v>413758.12242903514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-7.3174716466439275E-7</v>
      </c>
      <c r="M40">
        <f t="shared" ca="1" si="31"/>
        <v>-3.2956837929809009E-5</v>
      </c>
      <c r="N40">
        <f t="shared" ca="1" si="31"/>
        <v>-2.4262659985416538E-4</v>
      </c>
      <c r="O40">
        <f t="shared" ca="1" si="31"/>
        <v>-8.796812593249826E-4</v>
      </c>
      <c r="P40">
        <f t="shared" ca="1" si="31"/>
        <v>-2.1516203498859608E-3</v>
      </c>
      <c r="Q40">
        <f t="shared" ca="1" si="31"/>
        <v>-5.8612244349712005E-3</v>
      </c>
      <c r="R40">
        <f t="shared" ca="1" si="31"/>
        <v>-1.3540641839430854E-2</v>
      </c>
      <c r="S40">
        <f t="shared" ca="1" si="31"/>
        <v>-1.890436117551289E-2</v>
      </c>
      <c r="T40">
        <f t="shared" ca="1" si="31"/>
        <v>6.1462923049829837E-2</v>
      </c>
      <c r="U40">
        <f t="shared" ca="1" si="31"/>
        <v>0.76794929408444768</v>
      </c>
      <c r="V40">
        <f t="shared" ca="1" si="31"/>
        <v>4.1661755069409026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40.806672765953749</v>
      </c>
      <c r="Z40">
        <f t="shared" ca="1" si="31"/>
        <v>51.1196464168506</v>
      </c>
      <c r="AA40">
        <f t="shared" ca="1" si="31"/>
        <v>59.042308350111426</v>
      </c>
      <c r="AB40">
        <f t="shared" ca="1" si="31"/>
        <v>65.60316491531286</v>
      </c>
      <c r="AC40">
        <f t="shared" ca="1" si="31"/>
        <v>71.439680763602055</v>
      </c>
      <c r="AD40">
        <f t="shared" ca="1" si="31"/>
        <v>76.859055118734616</v>
      </c>
      <c r="AE40">
        <f t="shared" ca="1" si="31"/>
        <v>81.993049254468431</v>
      </c>
      <c r="AF40">
        <f t="shared" ca="1" si="31"/>
        <v>86.893337936327683</v>
      </c>
      <c r="AG40">
        <f t="shared" ca="1" si="31"/>
        <v>91.578019409408427</v>
      </c>
      <c r="AH40">
        <f t="shared" ca="1" si="31"/>
        <v>96.052389936735153</v>
      </c>
      <c r="AI40">
        <f t="shared" ca="1" si="31"/>
        <v>100.26406763458145</v>
      </c>
    </row>
    <row r="41" spans="1:35">
      <c r="A41" s="1" t="s">
        <v>38</v>
      </c>
      <c r="B41" s="1">
        <f ca="1">SUMPRODUCT(lz,qa3_)</f>
        <v>33.621546391629735</v>
      </c>
      <c r="C41" s="22">
        <f ca="1">B6/(phi_q3/SUM(B$39:B$41))</f>
        <v>0.40326273158949122</v>
      </c>
      <c r="D41" s="20"/>
      <c r="E41" s="38">
        <f ca="1">C41/AVERAGE(C$39:C$41)</f>
        <v>0.32970846828405936</v>
      </c>
      <c r="G41" s="1">
        <f ca="1">re*phi_q1+f1_*phi_q1*$H33+f1_*re*G37</f>
        <v>1231618.6449867119</v>
      </c>
      <c r="H41" s="1">
        <f ca="1">re*phi_q3+f3_*phi_q3*$H33+f3_*re*H37</f>
        <v>413758.1224290352</v>
      </c>
      <c r="I41" s="1">
        <f ca="1">re*phi_q3+f1_*phi_q3*$H33+f3_*re*I37</f>
        <v>215476.2947981772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-3.7585788010074612E-5</v>
      </c>
      <c r="M41">
        <f t="shared" ca="1" si="32"/>
        <v>-2.3565674964096998E-3</v>
      </c>
      <c r="N41">
        <f t="shared" ca="1" si="32"/>
        <v>-2.3962032782169698E-2</v>
      </c>
      <c r="O41">
        <f t="shared" ca="1" si="32"/>
        <v>-0.11610035625785747</v>
      </c>
      <c r="P41">
        <f t="shared" ca="1" si="32"/>
        <v>-3.8696544622904755E-2</v>
      </c>
      <c r="Q41">
        <f t="shared" ca="1" si="32"/>
        <v>-0.65234773709361349</v>
      </c>
      <c r="R41">
        <f t="shared" ca="1" si="32"/>
        <v>-1.1860648823210846</v>
      </c>
      <c r="S41">
        <f t="shared" ca="1" si="32"/>
        <v>-1.20258018685846</v>
      </c>
      <c r="T41">
        <f t="shared" ca="1" si="32"/>
        <v>-0.9189294204208196</v>
      </c>
      <c r="U41">
        <f t="shared" ca="1" si="32"/>
        <v>8.0547923833627411E-2</v>
      </c>
      <c r="V41">
        <f t="shared" ca="1" si="32"/>
        <v>3.8092453313576802</v>
      </c>
      <c r="W41">
        <f t="shared" ca="1" si="32"/>
        <v>13.365005458320265</v>
      </c>
      <c r="X41">
        <f t="shared" ca="1" si="32"/>
        <v>27.506589258447004</v>
      </c>
      <c r="Y41">
        <f t="shared" ca="1" si="32"/>
        <v>40.945929242804425</v>
      </c>
      <c r="Z41">
        <f t="shared" ca="1" si="32"/>
        <v>51.246925236935645</v>
      </c>
      <c r="AA41">
        <f t="shared" ca="1" si="32"/>
        <v>59.146500258299099</v>
      </c>
      <c r="AB41">
        <f t="shared" ca="1" si="32"/>
        <v>65.684504775368524</v>
      </c>
      <c r="AC41">
        <f t="shared" ca="1" si="32"/>
        <v>71.501733282000899</v>
      </c>
      <c r="AD41">
        <f t="shared" ca="1" si="32"/>
        <v>76.905778267658221</v>
      </c>
      <c r="AE41">
        <f t="shared" ca="1" si="32"/>
        <v>82.027923377747996</v>
      </c>
      <c r="AF41">
        <f t="shared" ca="1" si="32"/>
        <v>86.919194848933842</v>
      </c>
      <c r="AG41">
        <f t="shared" ca="1" si="32"/>
        <v>91.59708510366535</v>
      </c>
      <c r="AH41">
        <f t="shared" ca="1" si="32"/>
        <v>96.066381158898679</v>
      </c>
      <c r="AI41">
        <f t="shared" ca="1" si="32"/>
        <v>100.29811958956792</v>
      </c>
    </row>
    <row r="42" spans="1:35">
      <c r="A42" s="1" t="s">
        <v>95</v>
      </c>
      <c r="B42" s="1">
        <f ca="1">SUMPRODUCT(lz/SUM(lz),len,ta1_)</f>
        <v>7.510435033002226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-1.7825616818208314E-8</v>
      </c>
      <c r="M42">
        <f t="shared" ca="1" si="33"/>
        <v>-4.213533763905227E-7</v>
      </c>
      <c r="N42">
        <f t="shared" ca="1" si="33"/>
        <v>-6.8770603744030626E-6</v>
      </c>
      <c r="O42">
        <f t="shared" ca="1" si="33"/>
        <v>-8.8767279896296067E-5</v>
      </c>
      <c r="P42">
        <f t="shared" ca="1" si="33"/>
        <v>-7.6738055150664847E-5</v>
      </c>
      <c r="Q42">
        <f t="shared" ca="1" si="33"/>
        <v>-4.7133209998224167E-3</v>
      </c>
      <c r="R42">
        <f t="shared" ca="1" si="33"/>
        <v>-2.277274631882914E-2</v>
      </c>
      <c r="S42">
        <f t="shared" ca="1" si="33"/>
        <v>-5.1008919371625452E-2</v>
      </c>
      <c r="T42">
        <f t="shared" ca="1" si="33"/>
        <v>-1.5381379991153465E-2</v>
      </c>
      <c r="U42">
        <f t="shared" ca="1" si="33"/>
        <v>0.61397244469027734</v>
      </c>
      <c r="V42">
        <f t="shared" ca="1" si="33"/>
        <v>3.912796720457886</v>
      </c>
      <c r="W42">
        <f t="shared" ca="1" si="33"/>
        <v>13.114380308082527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50.90633085584949</v>
      </c>
      <c r="AA42">
        <f t="shared" ca="1" si="33"/>
        <v>58.87335436051427</v>
      </c>
      <c r="AB42">
        <f t="shared" ca="1" si="33"/>
        <v>65.472914093879936</v>
      </c>
      <c r="AC42">
        <f t="shared" ca="1" si="33"/>
        <v>71.34079565289187</v>
      </c>
      <c r="AD42">
        <f t="shared" ca="1" si="33"/>
        <v>76.784738007173345</v>
      </c>
      <c r="AE42">
        <f t="shared" ca="1" si="33"/>
        <v>81.93761910996048</v>
      </c>
      <c r="AF42">
        <f t="shared" ca="1" si="33"/>
        <v>86.852251335780537</v>
      </c>
      <c r="AG42">
        <f t="shared" ca="1" si="33"/>
        <v>91.547727065044811</v>
      </c>
      <c r="AH42">
        <f t="shared" ca="1" si="33"/>
        <v>96.030160820113196</v>
      </c>
      <c r="AI42">
        <f t="shared" ca="1" si="33"/>
        <v>100.20996649436884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-3.7585788010074606E-5</v>
      </c>
      <c r="M43">
        <f t="shared" ca="1" si="34"/>
        <v>-2.3565674964096998E-3</v>
      </c>
      <c r="N43">
        <f t="shared" ca="1" si="34"/>
        <v>-2.3962032782169702E-2</v>
      </c>
      <c r="O43">
        <f t="shared" ca="1" si="34"/>
        <v>-0.11610035625785747</v>
      </c>
      <c r="P43">
        <f t="shared" ca="1" si="34"/>
        <v>-3.8696544622904755E-2</v>
      </c>
      <c r="Q43">
        <f t="shared" ca="1" si="34"/>
        <v>-0.65234773709361338</v>
      </c>
      <c r="R43">
        <f t="shared" ca="1" si="34"/>
        <v>-1.1860648823210846</v>
      </c>
      <c r="S43">
        <f t="shared" ca="1" si="34"/>
        <v>-1.20258018685846</v>
      </c>
      <c r="T43">
        <f t="shared" ca="1" si="34"/>
        <v>-0.9189294204208196</v>
      </c>
      <c r="U43">
        <f t="shared" ca="1" si="34"/>
        <v>8.0547923833627522E-2</v>
      </c>
      <c r="V43">
        <f t="shared" ca="1" si="34"/>
        <v>3.8092453313576802</v>
      </c>
      <c r="W43">
        <f t="shared" ca="1" si="34"/>
        <v>13.365005458320265</v>
      </c>
      <c r="X43">
        <f t="shared" ca="1" si="34"/>
        <v>27.506589258447004</v>
      </c>
      <c r="Y43">
        <f t="shared" ca="1" si="34"/>
        <v>40.945929242804425</v>
      </c>
      <c r="Z43">
        <f t="shared" ca="1" si="34"/>
        <v>51.246925236935645</v>
      </c>
      <c r="AA43">
        <f t="shared" ca="1" si="34"/>
        <v>59.146500258299099</v>
      </c>
      <c r="AB43">
        <f t="shared" ca="1" si="34"/>
        <v>65.684504775368524</v>
      </c>
      <c r="AC43">
        <f t="shared" ca="1" si="34"/>
        <v>71.501733282000899</v>
      </c>
      <c r="AD43">
        <f t="shared" ca="1" si="34"/>
        <v>76.905778267658221</v>
      </c>
      <c r="AE43">
        <f t="shared" ca="1" si="34"/>
        <v>82.027923377747996</v>
      </c>
      <c r="AF43">
        <f t="shared" ca="1" si="34"/>
        <v>86.919194848933842</v>
      </c>
      <c r="AG43">
        <f t="shared" ca="1" si="34"/>
        <v>91.59708510366535</v>
      </c>
      <c r="AH43">
        <f t="shared" ca="1" si="34"/>
        <v>96.066381158898679</v>
      </c>
      <c r="AI43">
        <f t="shared" ca="1" si="34"/>
        <v>100.29811958956792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0.26465786010982062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1.1461414539908888E-6</v>
      </c>
      <c r="L46">
        <f t="shared" ca="1" si="35"/>
        <v>1.6657864082089775E-5</v>
      </c>
      <c r="M46">
        <f t="shared" ca="1" si="35"/>
        <v>1.0977655198680235E-4</v>
      </c>
      <c r="N46">
        <f t="shared" ca="1" si="35"/>
        <v>5.0474369838985104E-4</v>
      </c>
      <c r="O46">
        <f t="shared" ca="1" si="35"/>
        <v>1.8995917565930718E-3</v>
      </c>
      <c r="P46">
        <f t="shared" ca="1" si="35"/>
        <v>6.3597780528502649E-3</v>
      </c>
      <c r="Q46">
        <f t="shared" ca="1" si="35"/>
        <v>1.9545635040256731E-2</v>
      </c>
      <c r="R46">
        <f t="shared" ca="1" si="35"/>
        <v>5.5578154102326999E-2</v>
      </c>
      <c r="S46">
        <f t="shared" ca="1" si="35"/>
        <v>0.14796333818609364</v>
      </c>
      <c r="T46">
        <f t="shared" ca="1" si="35"/>
        <v>0.36735840615763005</v>
      </c>
      <c r="U46">
        <f t="shared" ca="1" si="35"/>
        <v>0.82113053717596873</v>
      </c>
      <c r="V46">
        <f t="shared" ca="1" si="35"/>
        <v>1.5398095639518419</v>
      </c>
      <c r="W46">
        <f t="shared" ca="1" si="35"/>
        <v>2.2468683359635051</v>
      </c>
      <c r="X46">
        <f t="shared" ca="1" si="35"/>
        <v>2.5279956841754769</v>
      </c>
      <c r="Y46">
        <f t="shared" ca="1" si="35"/>
        <v>2.3537338675400079</v>
      </c>
      <c r="Z46">
        <f t="shared" ca="1" si="35"/>
        <v>1.9695305135938144</v>
      </c>
      <c r="AA46">
        <f t="shared" ca="1" si="35"/>
        <v>1.5611101118070465</v>
      </c>
      <c r="AB46">
        <f t="shared" ca="1" si="35"/>
        <v>1.2038617444428157</v>
      </c>
      <c r="AC46">
        <f t="shared" ca="1" si="35"/>
        <v>0.91406853768437457</v>
      </c>
      <c r="AD46">
        <f t="shared" ca="1" si="35"/>
        <v>0.68700020339461965</v>
      </c>
      <c r="AE46">
        <f t="shared" ca="1" si="35"/>
        <v>0.51241503127779309</v>
      </c>
      <c r="AF46">
        <f t="shared" ca="1" si="35"/>
        <v>0.37982104682394885</v>
      </c>
      <c r="AG46">
        <f t="shared" ca="1" si="35"/>
        <v>0.2800352998547051</v>
      </c>
      <c r="AH46">
        <f t="shared" ca="1" si="35"/>
        <v>0.20549555883757611</v>
      </c>
      <c r="AI46">
        <f t="shared" ca="1" si="35"/>
        <v>0.50013437886627943</v>
      </c>
    </row>
    <row r="47" spans="1:35" ht="19" thickTop="1">
      <c r="A47" s="1" t="s">
        <v>41</v>
      </c>
      <c r="B47" s="10">
        <f ca="1">MAX(0,Ro*(reck-1/spr)/(reck-1))</f>
        <v>7544.946929783634</v>
      </c>
      <c r="F47" t="s">
        <v>83</v>
      </c>
      <c r="G47" s="30">
        <f ca="1">G39/G53</f>
        <v>1</v>
      </c>
      <c r="H47" s="30">
        <f ca="1">H53/H39</f>
        <v>0.43583179430432695</v>
      </c>
      <c r="I47" s="30">
        <f ca="1">I53/I39</f>
        <v>0.42393294770181861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3.3491073988701769E-2</v>
      </c>
      <c r="M47">
        <f t="shared" ca="1" si="36"/>
        <v>0.5899626697458541</v>
      </c>
      <c r="N47">
        <f t="shared" ca="1" si="36"/>
        <v>1.6990426153978417</v>
      </c>
      <c r="O47">
        <f t="shared" ca="1" si="36"/>
        <v>2.407728970372927</v>
      </c>
      <c r="P47">
        <f t="shared" ca="1" si="36"/>
        <v>2.3171287215827268</v>
      </c>
      <c r="Q47">
        <f t="shared" ca="1" si="36"/>
        <v>2.5551881375918737</v>
      </c>
      <c r="R47">
        <f t="shared" ca="1" si="36"/>
        <v>2.6187488433390751</v>
      </c>
      <c r="S47">
        <f t="shared" ca="1" si="36"/>
        <v>2.5427436758906516</v>
      </c>
      <c r="T47">
        <f t="shared" ca="1" si="36"/>
        <v>2.3702207509315656</v>
      </c>
      <c r="U47">
        <f t="shared" ca="1" si="36"/>
        <v>2.1253496873916711</v>
      </c>
      <c r="V47">
        <f t="shared" ca="1" si="36"/>
        <v>1.822120678833647</v>
      </c>
      <c r="W47">
        <f t="shared" ca="1" si="36"/>
        <v>1.4820884229864277</v>
      </c>
      <c r="X47">
        <f t="shared" ca="1" si="36"/>
        <v>1.1447587360739466</v>
      </c>
      <c r="Y47">
        <f t="shared" ca="1" si="36"/>
        <v>0.84968192195854431</v>
      </c>
      <c r="Z47">
        <f t="shared" ca="1" si="36"/>
        <v>0.66914815886601531</v>
      </c>
      <c r="AA47">
        <f t="shared" ca="1" si="36"/>
        <v>0.51746418934031901</v>
      </c>
      <c r="AB47">
        <f t="shared" ca="1" si="36"/>
        <v>0.3951642580836156</v>
      </c>
      <c r="AC47">
        <f t="shared" ca="1" si="36"/>
        <v>0.29889326761431712</v>
      </c>
      <c r="AD47">
        <f t="shared" ca="1" si="36"/>
        <v>0.22430893245506989</v>
      </c>
      <c r="AE47">
        <f t="shared" ca="1" si="36"/>
        <v>0.16720966479758614</v>
      </c>
      <c r="AF47">
        <f t="shared" ca="1" si="36"/>
        <v>0.12391489300872864</v>
      </c>
      <c r="AG47">
        <f t="shared" ca="1" si="36"/>
        <v>9.1352982797829524E-2</v>
      </c>
      <c r="AH47">
        <f t="shared" ca="1" si="36"/>
        <v>6.7034975487403586E-2</v>
      </c>
      <c r="AI47">
        <f t="shared" ca="1" si="36"/>
        <v>0.16314883638627697</v>
      </c>
    </row>
    <row r="48" spans="1:35">
      <c r="A48" s="1" t="s">
        <v>43</v>
      </c>
      <c r="B48" s="1">
        <f ca="1">f1_*re*phi_q1</f>
        <v>24487.654004566448</v>
      </c>
      <c r="C48" s="19">
        <f ca="1">ye_1/SUM(ye_1,ye_2,ye_3)</f>
        <v>0.60367371601208464</v>
      </c>
      <c r="F48" t="s">
        <v>84</v>
      </c>
      <c r="G48" s="30">
        <f ca="1">G40/G54</f>
        <v>2.2944631692054411</v>
      </c>
      <c r="H48" s="30">
        <f t="shared" ref="H48:I49" ca="1" si="37">H40/H54</f>
        <v>1</v>
      </c>
      <c r="I48" s="30">
        <f ca="1">I54/I40</f>
        <v>0.53282875918410311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8.5462645775878491E-4</v>
      </c>
      <c r="M48">
        <f t="shared" ca="1" si="38"/>
        <v>7.8455106899220015E-3</v>
      </c>
      <c r="N48">
        <f t="shared" ca="1" si="38"/>
        <v>4.9799891105700267E-2</v>
      </c>
      <c r="O48">
        <f t="shared" ca="1" si="38"/>
        <v>0.2499094575448941</v>
      </c>
      <c r="P48">
        <f t="shared" ca="1" si="38"/>
        <v>0.11291602141087004</v>
      </c>
      <c r="Q48">
        <f t="shared" ca="1" si="38"/>
        <v>2.0774908340996641</v>
      </c>
      <c r="R48">
        <f t="shared" ca="1" si="38"/>
        <v>4.130541974770793</v>
      </c>
      <c r="S48">
        <f t="shared" ca="1" si="38"/>
        <v>4.6334402474106948</v>
      </c>
      <c r="T48">
        <f t="shared" ca="1" si="38"/>
        <v>4.4194431893964543</v>
      </c>
      <c r="U48">
        <f t="shared" ca="1" si="38"/>
        <v>3.9247884788066498</v>
      </c>
      <c r="V48">
        <f t="shared" ca="1" si="38"/>
        <v>3.3046343060073937</v>
      </c>
      <c r="W48">
        <f t="shared" ca="1" si="38"/>
        <v>2.634268241090119</v>
      </c>
      <c r="X48">
        <f t="shared" ca="1" si="38"/>
        <v>1.9930041668333673</v>
      </c>
      <c r="Y48">
        <f t="shared" ca="1" si="38"/>
        <v>1.448775127642062</v>
      </c>
      <c r="Z48">
        <f t="shared" ca="1" si="38"/>
        <v>1.1409507301720148</v>
      </c>
      <c r="AA48">
        <f t="shared" ca="1" si="38"/>
        <v>0.88231752093025473</v>
      </c>
      <c r="AB48">
        <f t="shared" ca="1" si="38"/>
        <v>0.67378642954416423</v>
      </c>
      <c r="AC48">
        <f t="shared" ca="1" si="38"/>
        <v>0.5096367484683435</v>
      </c>
      <c r="AD48">
        <f t="shared" ca="1" si="38"/>
        <v>0.38246453625819743</v>
      </c>
      <c r="AE48">
        <f t="shared" ca="1" si="38"/>
        <v>0.28510575216395923</v>
      </c>
      <c r="AF48">
        <f t="shared" ca="1" si="38"/>
        <v>0.21128472937456738</v>
      </c>
      <c r="AG48">
        <f t="shared" ca="1" si="38"/>
        <v>0.15576408758743238</v>
      </c>
      <c r="AH48">
        <f t="shared" ca="1" si="38"/>
        <v>0.11429995467525556</v>
      </c>
      <c r="AI48">
        <f t="shared" ca="1" si="38"/>
        <v>0.27818171736001052</v>
      </c>
    </row>
    <row r="49" spans="1:47">
      <c r="A49" s="1" t="s">
        <v>44</v>
      </c>
      <c r="B49" s="1">
        <f ca="1">f2_*re*phi_q2</f>
        <v>9132.5017837425094</v>
      </c>
      <c r="C49" s="19">
        <f ca="1">ye_2/SUM(ye_1,ye_2,ye_3)</f>
        <v>0.22513595166163158</v>
      </c>
      <c r="F49" t="s">
        <v>85</v>
      </c>
      <c r="G49" s="30">
        <f ca="1">G41/G55</f>
        <v>2.3588636019471863</v>
      </c>
      <c r="H49" s="30">
        <f t="shared" ca="1" si="37"/>
        <v>1.8767755733216345</v>
      </c>
      <c r="I49" s="30">
        <f t="shared" ca="1" si="37"/>
        <v>0.99999999999999956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6944.2308249327079</v>
      </c>
      <c r="C50" s="19">
        <f ca="1">ye_3/SUM(ye_1,ye_2,ye_3)</f>
        <v>0.17119033232628403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40564.386613241666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1124.7957746476752</v>
      </c>
      <c r="H52" s="56">
        <f ca="1">H40^0.5</f>
        <v>474.93528953424806</v>
      </c>
      <c r="I52" s="10">
        <f ca="1">I41^0.5</f>
        <v>464.19424253019037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3.245570079214418</v>
      </c>
      <c r="C53">
        <f ca="1">AVERAGE(B53:B55)/B53</f>
        <v>0.55217466736063847</v>
      </c>
      <c r="G53">
        <f ca="1">G$52*$J53</f>
        <v>1265165.5346652637</v>
      </c>
      <c r="H53">
        <f t="shared" ref="H53:I53" ca="1" si="39">H$52*$J53</f>
        <v>534205.20689919242</v>
      </c>
      <c r="I53">
        <f t="shared" ca="1" si="39"/>
        <v>522123.72261373629</v>
      </c>
      <c r="J53">
        <f t="array" aca="1" ref="J53:J55" ca="1">TRANSPOSE(G52:I52)</f>
        <v>1124.7957746476752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1.2104129914674431</v>
      </c>
      <c r="C54">
        <f ca="1">AVERAGE(B53:B55)/B54</f>
        <v>1.4805868670602962</v>
      </c>
      <c r="G54">
        <f t="shared" ref="G54:I55" ca="1" si="40">G$52*$J54</f>
        <v>534205.20689919242</v>
      </c>
      <c r="H54">
        <f t="shared" ca="1" si="40"/>
        <v>225563.52924498002</v>
      </c>
      <c r="I54">
        <f ca="1">I$52*$J54</f>
        <v>220462.22697620693</v>
      </c>
      <c r="J54">
        <f ca="1"/>
        <v>474.93528953424806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0.92038166597572701</v>
      </c>
      <c r="C55">
        <f ca="1">AVERAGE(B53:B55)/B55</f>
        <v>1.9471504541390179</v>
      </c>
      <c r="G55">
        <f t="shared" ca="1" si="40"/>
        <v>522123.72261373629</v>
      </c>
      <c r="H55">
        <f t="shared" ca="1" si="40"/>
        <v>220462.22697620693</v>
      </c>
      <c r="I55">
        <f t="shared" ca="1" si="40"/>
        <v>215476.2947981772</v>
      </c>
      <c r="J55">
        <f ca="1"/>
        <v>464.19424253019037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5.8089214896367952E-2</v>
      </c>
      <c r="C56">
        <f ca="1">AVERAGE(B56:B58)/B56</f>
        <v>1.1752161457805439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0.11273153186554356</v>
      </c>
      <c r="C57">
        <f ca="1">AVERAGE(B56:B58)/B57</f>
        <v>0.60557487432487622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3.3981402963870512E-2</v>
      </c>
      <c r="C58">
        <f ca="1">AVERAGE(B56:B58)/B58</f>
        <v>2.0089630588386873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0"/>
      <c r="AM58" s="30"/>
      <c r="AN58" s="30"/>
      <c r="AO58" s="30"/>
      <c r="AP58" s="30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55.87216293083948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10.737128924240285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27.084863651871267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0.66021417938208504</v>
      </c>
      <c r="E4" s="46">
        <v>24977</v>
      </c>
      <c r="F4" s="46">
        <f ca="1">ye_1</f>
        <v>27503.775548065685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0.20562293233536855</v>
      </c>
      <c r="E5" s="46">
        <v>9315</v>
      </c>
      <c r="F5" s="46">
        <f ca="1">ye_2</f>
        <v>8566.0186574304535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0.13416288828254644</v>
      </c>
      <c r="E6" s="46">
        <v>7083</v>
      </c>
      <c r="F6" s="46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7.4158605884590251E-2</v>
      </c>
      <c r="Y7" s="1">
        <f t="shared" ca="1" si="4"/>
        <v>5.3236562025526894E-2</v>
      </c>
      <c r="Z7" s="1">
        <f t="shared" ca="1" si="4"/>
        <v>3.7433694945041021E-2</v>
      </c>
      <c r="AA7" s="1">
        <f t="shared" ca="1" si="4"/>
        <v>2.6031881792698823E-2</v>
      </c>
      <c r="AB7" s="1">
        <f t="shared" ca="1" si="4"/>
        <v>1.8018024645645881E-2</v>
      </c>
      <c r="AC7" s="1">
        <f t="shared" ca="1" si="4"/>
        <v>1.2447603930342563E-2</v>
      </c>
      <c r="AD7" s="1">
        <f t="shared" ca="1" si="4"/>
        <v>8.5928977542057573E-3</v>
      </c>
      <c r="AE7" s="1">
        <f t="shared" ca="1" si="4"/>
        <v>5.9301650902451094E-3</v>
      </c>
      <c r="AF7" s="1">
        <f t="shared" ca="1" si="4"/>
        <v>4.0920875169171977E-3</v>
      </c>
      <c r="AG7" s="1">
        <f t="shared" ca="1" si="4"/>
        <v>2.82360809633001E-3</v>
      </c>
      <c r="AH7" s="1">
        <f t="shared" ca="1" si="4"/>
        <v>1.948305947465161E-3</v>
      </c>
      <c r="AI7" s="1">
        <f ca="1">AH7*EXP(-AH8)/(1-EXP(-AI8))</f>
        <v>4.3365927714779364E-3</v>
      </c>
    </row>
    <row r="8" spans="1:35">
      <c r="A8" s="5"/>
      <c r="B8" s="25"/>
      <c r="C8" s="25"/>
      <c r="E8" t="s">
        <v>110</v>
      </c>
      <c r="F8">
        <f ca="1">SUMXMY2(E4:E6,F4:F6)</f>
        <v>9177382.3356711138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0.26919363715000283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1.7110304562045126E-2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3"/>
    </row>
    <row r="27" spans="1:39">
      <c r="A27" t="s">
        <v>14</v>
      </c>
      <c r="B27" s="27">
        <f ca="1">fbar*C27</f>
        <v>0.19601462434819811</v>
      </c>
      <c r="C27" s="35">
        <f ca="1">CHOOSE(C$25,E36,E39,1)</f>
        <v>2.2812436347600689</v>
      </c>
      <c r="E27" s="41">
        <f ca="1">f1_/(F4/(f1_*365*re*phib))</f>
        <v>234.91426520820153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7">
        <f ca="1">fbar*C28</f>
        <v>4.0454395904891111E-2</v>
      </c>
      <c r="C28" s="35">
        <f ca="1">CHOOSE(C$25,E37,E40,1)</f>
        <v>0.47081350926224913</v>
      </c>
      <c r="E28" s="41">
        <f ca="1">f2_/(F5/(f2_*365*re*phib))</f>
        <v>32.127518390807992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7">
        <f ca="1">fbar*C29</f>
        <v>2.1304355674134887E-2</v>
      </c>
      <c r="C29" s="35">
        <f ca="1">CHOOSE(C$25,E38,E41,1)</f>
        <v>0.24794285597768226</v>
      </c>
      <c r="E29" s="41">
        <f ca="1">f3_/(F6/(f3_*365*re*phib))</f>
        <v>13.655943054894973</v>
      </c>
    </row>
    <row r="30" spans="1:39">
      <c r="A30" t="s">
        <v>94</v>
      </c>
      <c r="B30" s="27">
        <v>8.5924458642408025E-2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0.2577733759272241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-0.10499370934119857</v>
      </c>
      <c r="Z31">
        <f t="shared" ca="1" si="23"/>
        <v>-0.10684079924731779</v>
      </c>
      <c r="AA31">
        <f t="shared" ca="1" si="23"/>
        <v>-9.8944524371689366E-2</v>
      </c>
      <c r="AB31">
        <f t="shared" ca="1" si="23"/>
        <v>-8.6087006163932306E-2</v>
      </c>
      <c r="AC31">
        <f t="shared" ca="1" si="23"/>
        <v>-7.1798399702850221E-2</v>
      </c>
      <c r="AD31">
        <f t="shared" ca="1" si="23"/>
        <v>-5.8122141886433089E-2</v>
      </c>
      <c r="AE31">
        <f t="shared" ca="1" si="23"/>
        <v>-4.6031767819528502E-2</v>
      </c>
      <c r="AF31">
        <f t="shared" ca="1" si="23"/>
        <v>-3.5853428448510083E-2</v>
      </c>
      <c r="AG31">
        <f t="shared" ca="1" si="23"/>
        <v>-2.7562374234756496E-2</v>
      </c>
      <c r="AH31">
        <f t="shared" ca="1" si="23"/>
        <v>-2.0966352877937498E-2</v>
      </c>
      <c r="AI31">
        <f ca="1">(AH31*sa-AH$7*AH18*AH$10)/oa-AH$7*AH$10*flt1_*sa/oa^2</f>
        <v>-6.0656519304277463E-2</v>
      </c>
    </row>
    <row r="32" spans="1:39">
      <c r="A32" s="11" t="s">
        <v>22</v>
      </c>
      <c r="B32" s="11"/>
      <c r="C32" s="11"/>
      <c r="G32">
        <f ca="1">SUMPRODUCT(dlz2_,wa,ma)</f>
        <v>-170.20248155821227</v>
      </c>
      <c r="H32">
        <f ca="1">Ro/(reck-1)*phie/phif^2*dphif</f>
        <v>-21758.821367335629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8" t="s">
        <v>127</v>
      </c>
      <c r="B33" s="59">
        <f ca="1">SUMPRODUCT(lz,wa)</f>
        <v>61.750297221719642</v>
      </c>
      <c r="C33" s="58"/>
      <c r="D33" s="60"/>
      <c r="E33" s="60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-2.88196257286252E-2</v>
      </c>
      <c r="AH33">
        <f t="shared" ca="1" si="25"/>
        <v>-2.0969285392535949E-2</v>
      </c>
      <c r="AI33">
        <f ca="1">(AH33*sa-AH$7*AH20*AH$10)/oa-AH$7*AH$10*flt3_*sa/oa^2</f>
        <v>-5.4454900687267278E-2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6"/>
      <c r="G35" s="1">
        <f ca="1">SUM(dqa11_)</f>
        <v>858.35233212900675</v>
      </c>
      <c r="H35" s="1">
        <f ca="1">SUM(dqa12_)</f>
        <v>861.9271524653409</v>
      </c>
      <c r="I35" s="10">
        <f ca="1">SUM(dqa13_)</f>
        <v>859.59758553002303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8">
        <f ca="1">B11/(phi_t1/SUM(B$36:B$38))</f>
        <v>4.1673982497210664</v>
      </c>
      <c r="E36" s="37">
        <f ca="1">C36/AVERAGE(C$36:C$38)</f>
        <v>2.2812436347600689</v>
      </c>
      <c r="G36" s="1">
        <f ca="1">SUM(dqa21_)</f>
        <v>861.9271524653409</v>
      </c>
      <c r="H36" s="1">
        <f ca="1">SUM(dqa22_)</f>
        <v>139.67144068275411</v>
      </c>
      <c r="I36" s="10">
        <f ca="1">SUM(dqa23_)</f>
        <v>857.24680939439259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7.5590863839448765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2.5722566015411101</v>
      </c>
      <c r="C37" s="28">
        <f ca="1">B12/(phi_t2/SUM(B$36:B$38))</f>
        <v>0.86008673714102946</v>
      </c>
      <c r="E37" s="37">
        <f ca="1">C37/AVERAGE(C$36:C$38)</f>
        <v>0.47081350926224913</v>
      </c>
      <c r="G37" s="1">
        <f ca="1">SUM(dqa31_)</f>
        <v>859.59758553002303</v>
      </c>
      <c r="H37" s="1">
        <f ca="1">SUM(dqa32_)</f>
        <v>857.24680939439259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8">
        <f ca="1">B13/(phi_t3/SUM(B$36:B$38))</f>
        <v>0.45294444148264379</v>
      </c>
      <c r="E38" s="37">
        <f ca="1">C38/AVERAGE(C$36:C$38)</f>
        <v>0.24794285597768231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18.454299086700924</v>
      </c>
      <c r="C39" s="22">
        <f ca="1">B4/(phi_q1/SUM(B$39:B$41))</f>
        <v>2.6433373136658687</v>
      </c>
      <c r="D39" s="20"/>
      <c r="E39" s="38">
        <f ca="1">C39/AVERAGE(C$39:C$41)</f>
        <v>2.1446835972162699</v>
      </c>
      <c r="G39" s="1">
        <f ca="1">re*phi_q1+f1_*phi_q1*$H31+f1_*re*G35</f>
        <v>1389623.7907908305</v>
      </c>
      <c r="H39" s="1">
        <f ca="1">re*phi_q1+f1_*phi_q1*$H32+f1_*re*H35</f>
        <v>1346198.7827876364</v>
      </c>
      <c r="I39" s="1">
        <f ca="1">re*phi_q1+f1_*phi_q1*$H33+f1_*re*I35</f>
        <v>1352843.2092972638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27.848833583002595</v>
      </c>
      <c r="C40" s="22">
        <f ca="1">B5/(phi_q2/SUM(B$39:B$41))</f>
        <v>0.65325947402230577</v>
      </c>
      <c r="D40" s="20"/>
      <c r="E40" s="38">
        <f ca="1">C40/AVERAGE(C$39:C$41)</f>
        <v>0.53002500718259271</v>
      </c>
      <c r="G40" s="1">
        <f ca="1">re*phi_q1+f1_*phi_q1*$H32+f1_*re*G36</f>
        <v>1346198.7827876364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34.503660933432243</v>
      </c>
      <c r="C41" s="22">
        <f ca="1">B6/(phi_q3/SUM(B$39:B$41))</f>
        <v>0.40092388682554164</v>
      </c>
      <c r="D41" s="20"/>
      <c r="E41" s="38">
        <f ca="1">C41/AVERAGE(C$39:C$41)</f>
        <v>0.32529139560113723</v>
      </c>
      <c r="G41" s="1">
        <f ca="1">re*phi_q1+f1_*phi_q1*$H33+f1_*re*G37</f>
        <v>1352843.2092972638</v>
      </c>
      <c r="H41" s="1">
        <f ca="1">re*phi_q3+f3_*phi_q3*$H33+f3_*re*H37</f>
        <v>387266.60486038378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95</v>
      </c>
      <c r="B42" s="1">
        <f ca="1">SUMPRODUCT(lz/SUM(lz),len,ta1_)</f>
        <v>7.5638101381237837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0.26919363715000283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2.6180545181822055</v>
      </c>
      <c r="Y46">
        <f t="shared" ca="1" si="35"/>
        <v>2.4114503831228702</v>
      </c>
      <c r="Z46">
        <f t="shared" ca="1" si="35"/>
        <v>1.9923342071046679</v>
      </c>
      <c r="AA46">
        <f t="shared" ca="1" si="35"/>
        <v>1.5580261648417992</v>
      </c>
      <c r="AB46">
        <f t="shared" ca="1" si="35"/>
        <v>1.1849999296830684</v>
      </c>
      <c r="AC46">
        <f t="shared" ca="1" si="35"/>
        <v>0.88728738249272698</v>
      </c>
      <c r="AD46">
        <f t="shared" ca="1" si="35"/>
        <v>0.65760323786316699</v>
      </c>
      <c r="AE46">
        <f t="shared" ca="1" si="35"/>
        <v>0.48366179620474342</v>
      </c>
      <c r="AF46">
        <f t="shared" ca="1" si="35"/>
        <v>0.35351549279596839</v>
      </c>
      <c r="AG46">
        <f t="shared" ca="1" si="35"/>
        <v>0.25701025292975033</v>
      </c>
      <c r="AH46">
        <f t="shared" ca="1" si="35"/>
        <v>0.18597214942172813</v>
      </c>
      <c r="AI46">
        <f t="shared" ca="1" si="35"/>
        <v>0.43227935047872357</v>
      </c>
    </row>
    <row r="47" spans="1:35" ht="19" thickTop="1">
      <c r="A47" s="1" t="s">
        <v>41</v>
      </c>
      <c r="B47" s="10">
        <f ca="1">MAX(0,Ro*(reck-1/spr)/(reck-1))</f>
        <v>7603.372814645968</v>
      </c>
      <c r="F47" t="s">
        <v>83</v>
      </c>
      <c r="G47" s="30">
        <f ca="1">G39/G53</f>
        <v>1</v>
      </c>
      <c r="H47" s="30">
        <f ca="1">H53/H39</f>
        <v>0.42013166305552069</v>
      </c>
      <c r="I47" s="30">
        <f ca="1">I53/I39</f>
        <v>0.385814422485388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1.1855403076704427</v>
      </c>
      <c r="Y47">
        <f t="shared" ca="1" si="36"/>
        <v>0.87051719164026553</v>
      </c>
      <c r="Z47">
        <f t="shared" ca="1" si="36"/>
        <v>0.67689571566841755</v>
      </c>
      <c r="AA47">
        <f t="shared" ca="1" si="36"/>
        <v>0.51644194747264394</v>
      </c>
      <c r="AB47">
        <f t="shared" ca="1" si="36"/>
        <v>0.3889729200250282</v>
      </c>
      <c r="AC47">
        <f t="shared" ca="1" si="36"/>
        <v>0.29013603918372682</v>
      </c>
      <c r="AD47">
        <f t="shared" ca="1" si="36"/>
        <v>0.21471067917479977</v>
      </c>
      <c r="AE47">
        <f t="shared" ca="1" si="36"/>
        <v>0.15782699937026307</v>
      </c>
      <c r="AF47">
        <f t="shared" ca="1" si="36"/>
        <v>0.11533282537406328</v>
      </c>
      <c r="AG47">
        <f t="shared" ca="1" si="36"/>
        <v>8.3841762902530773E-2</v>
      </c>
      <c r="AH47">
        <f t="shared" ca="1" si="36"/>
        <v>6.0666218522410727E-2</v>
      </c>
      <c r="AI47">
        <f t="shared" ca="1" si="36"/>
        <v>0.14101384748692875</v>
      </c>
    </row>
    <row r="48" spans="1:35">
      <c r="A48" s="1" t="s">
        <v>43</v>
      </c>
      <c r="B48" s="1">
        <f ca="1">f1_*re*phi_q1</f>
        <v>27503.775548065685</v>
      </c>
      <c r="C48" s="19">
        <f ca="1">ye_1/SUM(ye_1,ye_2,ye_3)</f>
        <v>0.66021417938208493</v>
      </c>
      <c r="F48" t="s">
        <v>84</v>
      </c>
      <c r="G48" s="30">
        <f ca="1">G40/G54</f>
        <v>2.3802062256560972</v>
      </c>
      <c r="H48" s="30">
        <f t="shared" ref="H48:I49" ca="1" si="37">H40/H54</f>
        <v>1</v>
      </c>
      <c r="I48" s="30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2.0640041422522746</v>
      </c>
      <c r="Y48">
        <f t="shared" ca="1" si="38"/>
        <v>1.484300916425485</v>
      </c>
      <c r="Z48">
        <f t="shared" ca="1" si="38"/>
        <v>1.1541609295480846</v>
      </c>
      <c r="AA48">
        <f t="shared" ca="1" si="38"/>
        <v>0.88057451739675774</v>
      </c>
      <c r="AB48">
        <f t="shared" ca="1" si="38"/>
        <v>0.66322970666434922</v>
      </c>
      <c r="AC48">
        <f t="shared" ca="1" si="38"/>
        <v>0.49470497881497172</v>
      </c>
      <c r="AD48">
        <f t="shared" ca="1" si="38"/>
        <v>0.36609875247264739</v>
      </c>
      <c r="AE48">
        <f t="shared" ca="1" si="38"/>
        <v>0.26910756278179654</v>
      </c>
      <c r="AF48">
        <f t="shared" ca="1" si="38"/>
        <v>0.19665162278312015</v>
      </c>
      <c r="AG48">
        <f t="shared" ca="1" si="38"/>
        <v>0.14295686139921887</v>
      </c>
      <c r="AH48">
        <f t="shared" ca="1" si="38"/>
        <v>0.10344071847588988</v>
      </c>
      <c r="AI48">
        <f t="shared" ca="1" si="38"/>
        <v>0.24043980413430641</v>
      </c>
    </row>
    <row r="49" spans="1:47">
      <c r="A49" s="1" t="s">
        <v>44</v>
      </c>
      <c r="B49" s="1">
        <f ca="1">f2_*re*phi_q2</f>
        <v>8566.0186574304535</v>
      </c>
      <c r="C49" s="19">
        <f ca="1">ye_2/SUM(ye_1,ye_2,ye_3)</f>
        <v>0.2056229323353686</v>
      </c>
      <c r="F49" t="s">
        <v>85</v>
      </c>
      <c r="G49" s="30">
        <f ca="1">G41/G55</f>
        <v>2.5919196943392468</v>
      </c>
      <c r="H49" s="30">
        <f t="shared" ca="1" si="37"/>
        <v>1.823000373948624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5589.0740935872373</v>
      </c>
      <c r="C50" s="19">
        <f ca="1">ye_3/SUM(ye_1,ye_2,ye_3)</f>
        <v>0.13416288828254641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41658.868299083377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1178.8230532148709</v>
      </c>
      <c r="H52" s="56">
        <f ca="1">H40^0.5</f>
        <v>479.78424910629542</v>
      </c>
      <c r="I52" s="10">
        <f ca="1">I41^0.5</f>
        <v>442.76909930193267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3.6173125030889772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1.1266077392562142</v>
      </c>
      <c r="C54">
        <f ca="1">AVERAGE(B53:B55)/B54</f>
        <v>1.6210902623918944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0.73507826458559344</v>
      </c>
      <c r="C55">
        <f ca="1">AVERAGE(B53:B55)/B55</f>
        <v>2.484542019036851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6.5467529921993256E-2</v>
      </c>
      <c r="C56">
        <f ca="1">AVERAGE(B56:B58)/B56</f>
        <v>1.0015609311013745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0.10405908692771382</v>
      </c>
      <c r="C57">
        <f ca="1">AVERAGE(B56:B58)/B57</f>
        <v>0.63012008044167855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2.7182543827028876E-2</v>
      </c>
      <c r="C58">
        <f ca="1">AVERAGE(B56:B58)/B58</f>
        <v>2.4121995587616643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0"/>
      <c r="AM58" s="30"/>
      <c r="AN58" s="30"/>
      <c r="AO58" s="30"/>
      <c r="AP58" s="30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55.253535720671387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10.826615651921191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27.042291157999376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0.22513595166163144</v>
      </c>
      <c r="E5" s="46">
        <v>9315</v>
      </c>
      <c r="F5" s="46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5"/>
      <c r="C8" s="25"/>
      <c r="E8" t="s">
        <v>110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0.53174446697831579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0.1682126986753166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0.27285711515452366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1.6165313166830064E-2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3"/>
    </row>
    <row r="27" spans="1:39">
      <c r="A27" t="s">
        <v>14</v>
      </c>
      <c r="B27" s="27">
        <f ca="1">fbar*C27</f>
        <v>0.17396215778953097</v>
      </c>
      <c r="C27" s="35">
        <f ca="1">CHOOSE(C$25,E36,E39,1)</f>
        <v>1.7867544680556318</v>
      </c>
      <c r="E27" s="41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7">
        <f ca="1">fbar*C28</f>
        <v>9.0874875555160273E-2</v>
      </c>
      <c r="C28" s="35">
        <f ca="1">CHOOSE(C$25,E37,E40,1)</f>
        <v>0.93337017656809929</v>
      </c>
      <c r="E28" s="41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7">
        <f ca="1">fbar*C29</f>
        <v>2.7249250864529867E-2</v>
      </c>
      <c r="C29" s="35">
        <f ca="1">CHOOSE(C$25,E38,E41,1)</f>
        <v>0.27987535537626868</v>
      </c>
      <c r="E29" s="41">
        <f ca="1">f3_/(F6/(f3_*365*re*phib))</f>
        <v>17.606250828024006</v>
      </c>
    </row>
    <row r="30" spans="1:39">
      <c r="A30" t="s">
        <v>94</v>
      </c>
      <c r="B30" s="27">
        <v>9.7362094736407029E-2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1" t="s">
        <v>22</v>
      </c>
      <c r="B32" s="11"/>
      <c r="C32" s="11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8" t="s">
        <v>127</v>
      </c>
      <c r="B33" s="59">
        <f ca="1">SUMPRODUCT(lz,wa)</f>
        <v>62.059640204093519</v>
      </c>
      <c r="C33" s="58"/>
      <c r="D33" s="60"/>
      <c r="E33" s="60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6"/>
      <c r="G35" s="1">
        <f ca="1">SUM(dqa11_)</f>
        <v>864.8209496675297</v>
      </c>
      <c r="H35" s="1">
        <f ca="1">SUM(dqa12_)</f>
        <v>870.19353700881368</v>
      </c>
      <c r="I35" s="10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8">
        <f ca="1">B11/(phi_t1/SUM(B$36:B$38))</f>
        <v>2.6530921148590494</v>
      </c>
      <c r="E36" s="37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0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8">
        <f ca="1">B12/(phi_t2/SUM(B$36:B$38))</f>
        <v>1.2430131047585775</v>
      </c>
      <c r="E37" s="37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8">
        <f ca="1">B13/(phi_t3/SUM(B$36:B$38))</f>
        <v>0.30778023907322621</v>
      </c>
      <c r="E38" s="37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2">
        <f ca="1">B4/(phi_q1/SUM(B$39:B$41))</f>
        <v>2.1275499718935382</v>
      </c>
      <c r="D39" s="20"/>
      <c r="E39" s="38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2">
        <f ca="1">B5/(phi_q2/SUM(B$39:B$41))</f>
        <v>1.1113959575456891</v>
      </c>
      <c r="D40" s="20"/>
      <c r="E40" s="38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2">
        <f ca="1">B6/(phi_q3/SUM(B$39:B$41))</f>
        <v>0.33325720747319548</v>
      </c>
      <c r="D41" s="20"/>
      <c r="E41" s="38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95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0.27285711515452371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0">
        <f ca="1">MAX(0,Ro*(reck-1/spr)/(reck-1))</f>
        <v>7649.1444787437295</v>
      </c>
      <c r="F47" t="s">
        <v>83</v>
      </c>
      <c r="G47" s="30">
        <f ca="1">G39/G53</f>
        <v>0.99999999999999967</v>
      </c>
      <c r="H47" s="30">
        <f ca="1">H53/H39</f>
        <v>0.30055184591339013</v>
      </c>
      <c r="I47" s="30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19">
        <f ca="1">ye_1/SUM(ye_1,ye_2,ye_3)</f>
        <v>0.60367371601208464</v>
      </c>
      <c r="F48" t="s">
        <v>84</v>
      </c>
      <c r="G48" s="30">
        <f ca="1">G40/G54</f>
        <v>3.3272129703976927</v>
      </c>
      <c r="H48" s="30">
        <f t="shared" ref="H48:I49" ca="1" si="37">H40/H54</f>
        <v>0.99999999999999989</v>
      </c>
      <c r="I48" s="30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19">
        <f ca="1">ye_2/SUM(ye_1,ye_2,ye_3)</f>
        <v>0.22513595166163139</v>
      </c>
      <c r="F49" t="s">
        <v>85</v>
      </c>
      <c r="G49" s="30">
        <f ca="1">G41/G55</f>
        <v>2.2891138362179464</v>
      </c>
      <c r="H49" s="30">
        <f t="shared" ca="1" si="37"/>
        <v>2.6165611412540182</v>
      </c>
      <c r="I49" s="30">
        <f t="shared" ca="1" si="37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7134.6649666801959</v>
      </c>
      <c r="C50" s="19">
        <f ca="1">ye_3/SUM(ye_1,ye_2,ye_3)</f>
        <v>0.171190332326284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1125.5673298439615</v>
      </c>
      <c r="H52" s="56">
        <f ca="1">H40^0.5</f>
        <v>338.92108001301654</v>
      </c>
      <c r="I52" s="10">
        <f ca="1">I41^0.5</f>
        <v>479.45892815644663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5.8480044544393012E-2</v>
      </c>
      <c r="C56">
        <f ca="1">AVERAGE(B56:B58)/B56</f>
        <v>1.1109524880322097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0"/>
      <c r="AM58" s="30"/>
      <c r="AN58" s="30"/>
      <c r="AO58" s="30"/>
      <c r="AP58" s="30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56.243981580945039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11.835835554712046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28.449687890666102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M1" activePane="topRight" state="frozen"/>
      <selection pane="topRight" activeCell="J12" sqref="J12:AI1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0.64517448535957689</v>
      </c>
      <c r="E4" s="46">
        <v>24977</v>
      </c>
      <c r="F4" s="46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0.21854122339306845</v>
      </c>
      <c r="E5" s="46">
        <v>9315</v>
      </c>
      <c r="F5" s="46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0.13628429124735464</v>
      </c>
      <c r="E6" s="46">
        <v>7083</v>
      </c>
      <c r="F6" s="46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5"/>
      <c r="C8" s="25"/>
      <c r="E8" t="s">
        <v>110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0.27896177988215748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1.4650250729295303E-2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3"/>
    </row>
    <row r="27" spans="1:39">
      <c r="A27" t="s">
        <v>14</v>
      </c>
      <c r="B27" s="27">
        <f ca="1">fbar*C27</f>
        <v>0.18339196813395661</v>
      </c>
      <c r="C27" s="35">
        <f ca="1">CHOOSE(C$25,E36,E39,1)</f>
        <v>1.8835417314747986</v>
      </c>
      <c r="E27" s="41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7">
        <f ca="1">fbar*C28</f>
        <v>8.7337328596357247E-2</v>
      </c>
      <c r="C28" s="35">
        <f ca="1">CHOOSE(C$25,E37,E40,1)</f>
        <v>0.89700494956576515</v>
      </c>
      <c r="E28" s="41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7">
        <f ca="1">fbar*C29</f>
        <v>2.1367180458480014E-2</v>
      </c>
      <c r="C29" s="35">
        <f ca="1">CHOOSE(C$25,E38,E41,1)</f>
        <v>0.21945331895943612</v>
      </c>
      <c r="E29" s="41">
        <f ca="1">f3_/(F6/(f3_*365*re*phib))</f>
        <v>13.509114461402788</v>
      </c>
    </row>
    <row r="30" spans="1:39">
      <c r="A30" t="s">
        <v>94</v>
      </c>
      <c r="B30" s="27">
        <v>9.736549239626463E-2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1" t="s">
        <v>22</v>
      </c>
      <c r="B32" s="11"/>
      <c r="C32" s="11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8" t="s">
        <v>127</v>
      </c>
      <c r="B33" s="59">
        <f ca="1">SUMPRODUCT(lz,wa)</f>
        <v>63.163733358064938</v>
      </c>
      <c r="C33" s="58"/>
      <c r="D33" s="60"/>
      <c r="E33" s="60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6"/>
      <c r="G35" s="1">
        <f ca="1">SUM(dqa11_)</f>
        <v>862.53489727952274</v>
      </c>
      <c r="H35" s="1">
        <f ca="1">SUM(dqa12_)</f>
        <v>867.99162370531019</v>
      </c>
      <c r="I35" s="10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8">
        <f ca="1">B11/(phi_t1/SUM(B$36:B$38))</f>
        <v>2.6296517394528203</v>
      </c>
      <c r="E36" s="37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0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8">
        <f ca="1">B12/(phi_t2/SUM(B$36:B$38))</f>
        <v>1.2523272442052416</v>
      </c>
      <c r="E37" s="37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8">
        <f ca="1">B13/(phi_t3/SUM(B$36:B$38))</f>
        <v>0.30638333745784441</v>
      </c>
      <c r="E38" s="37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2">
        <f ca="1">B4/(phi_q1/SUM(B$39:B$41))</f>
        <v>2.1275210866815764</v>
      </c>
      <c r="D39" s="20"/>
      <c r="E39" s="38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2">
        <f ca="1">B5/(phi_q2/SUM(B$39:B$41))</f>
        <v>1.1155264325003462</v>
      </c>
      <c r="D40" s="20"/>
      <c r="E40" s="38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2">
        <f ca="1">B6/(phi_q3/SUM(B$39:B$41))</f>
        <v>0.33277380450197847</v>
      </c>
      <c r="D41" s="20"/>
      <c r="E41" s="38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95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0.27896177988215748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0">
        <f ca="1">MAX(0,Ro*(reck-1/spr)/(reck-1))</f>
        <v>7722.7456992196003</v>
      </c>
      <c r="F47" t="s">
        <v>83</v>
      </c>
      <c r="G47" s="30">
        <f ca="1">G39/G53</f>
        <v>0.99999999999999978</v>
      </c>
      <c r="H47" s="30">
        <f ca="1">H53/H39</f>
        <v>0.29543173245833781</v>
      </c>
      <c r="I47" s="30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19">
        <f ca="1">ye_1/SUM(ye_1,ye_2,ye_3)</f>
        <v>0.645174485359577</v>
      </c>
      <c r="F48" t="s">
        <v>84</v>
      </c>
      <c r="G48" s="30">
        <f ca="1">G40/G54</f>
        <v>3.3848767418409302</v>
      </c>
      <c r="H48" s="30">
        <f t="shared" ref="H48:I49" ca="1" si="37">H40/H54</f>
        <v>1.0000000000000002</v>
      </c>
      <c r="I48" s="30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19">
        <f ca="1">ye_2/SUM(ye_1,ye_2,ye_3)</f>
        <v>0.21854122339306845</v>
      </c>
      <c r="F49" t="s">
        <v>85</v>
      </c>
      <c r="G49" s="30">
        <f ca="1">G41/G55</f>
        <v>2.4277703665583941</v>
      </c>
      <c r="H49" s="30">
        <f t="shared" ca="1" si="37"/>
        <v>2.5045787343887791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5772.4178251687936</v>
      </c>
      <c r="C50" s="19">
        <f ca="1">ye_3/SUM(ye_1,ye_2,ye_3)</f>
        <v>0.13628429124735469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1158.0704338371249</v>
      </c>
      <c r="H52" s="56">
        <f ca="1">H40^0.5</f>
        <v>342.74434923210913</v>
      </c>
      <c r="I52" s="10">
        <f ca="1">I41^0.5</f>
        <v>465.23798437272586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6.3149290243844206E-2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0"/>
      <c r="AM58" s="30"/>
      <c r="AN58" s="30"/>
      <c r="AO58" s="30"/>
      <c r="AP58" s="30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56.033652856173013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11.941285053669185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28.507124310469173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abSelected="1" workbookViewId="0">
      <pane xSplit="10" topLeftCell="K1" activePane="topRight" state="frozen"/>
      <selection pane="topRight" activeCell="AE30" sqref="AE30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74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4">
        <v>0.33333000000000002</v>
      </c>
      <c r="C4" s="21">
        <f ca="1">ypr1/SUM(ypr1,ypr2,ypr3)</f>
        <v>0.33333000000000002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4">
        <v>0.33333000000000002</v>
      </c>
      <c r="C5" s="21">
        <f ca="1">ypr2/SUM(ypr1,ypr2,ypr3)</f>
        <v>0.33333000000000007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4">
        <f>1-SUM(B4:B5)</f>
        <v>0.33333999999999997</v>
      </c>
      <c r="C6" s="21">
        <f ca="1">ypr3/SUM(ypr1,ypr2,ypr3)</f>
        <v>0.33333999999999997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0.4370562368756763</v>
      </c>
      <c r="J7" t="s">
        <v>7</v>
      </c>
      <c r="K7" s="1">
        <f>1</f>
        <v>1</v>
      </c>
      <c r="L7" s="1">
        <f ca="1">K7*EXP(-K8)</f>
        <v>0.86070797629666806</v>
      </c>
      <c r="M7" s="1">
        <f t="shared" ref="M7:AH7" ca="1" si="3">L7*EXP(-L8)</f>
        <v>0.74081821877628617</v>
      </c>
      <c r="N7" s="1">
        <f t="shared" ca="1" si="3"/>
        <v>0.63762698118168382</v>
      </c>
      <c r="O7" s="1">
        <f t="shared" ca="1" si="3"/>
        <v>0.52503304367633596</v>
      </c>
      <c r="P7" s="1">
        <f t="shared" ca="1" si="3"/>
        <v>0.41793303556490918</v>
      </c>
      <c r="Q7" s="1">
        <f t="shared" ca="1" si="3"/>
        <v>0.33242170574962621</v>
      </c>
      <c r="R7" s="1">
        <f t="shared" ca="1" si="3"/>
        <v>0.26782862529046492</v>
      </c>
      <c r="S7" s="1">
        <f t="shared" ca="1" si="3"/>
        <v>0.21501734954281615</v>
      </c>
      <c r="T7" s="1">
        <f t="shared" ca="1" si="3"/>
        <v>0.17140228559534459</v>
      </c>
      <c r="U7" s="1">
        <f t="shared" ca="1" si="3"/>
        <v>0.13713408375061964</v>
      </c>
      <c r="V7" s="1">
        <f t="shared" ca="1" si="3"/>
        <v>0.11019225690757331</v>
      </c>
      <c r="W7" s="1">
        <f t="shared" ca="1" si="3"/>
        <v>8.8844332052247441E-2</v>
      </c>
      <c r="X7" s="1">
        <f t="shared" ca="1" si="3"/>
        <v>7.1820671790652185E-2</v>
      </c>
      <c r="Y7" s="1">
        <f t="shared" ca="1" si="3"/>
        <v>5.8180319695824941E-2</v>
      </c>
      <c r="Z7" s="1">
        <f t="shared" ca="1" si="3"/>
        <v>4.7211238671207342E-2</v>
      </c>
      <c r="AA7" s="1">
        <f t="shared" ca="1" si="3"/>
        <v>3.8365480372544745E-2</v>
      </c>
      <c r="AB7" s="1">
        <f t="shared" ca="1" si="3"/>
        <v>3.1216008311937698E-2</v>
      </c>
      <c r="AC7" s="1">
        <f t="shared" ca="1" si="3"/>
        <v>2.5426876590434647E-2</v>
      </c>
      <c r="AD7" s="1">
        <f t="shared" ca="1" si="3"/>
        <v>2.0731942589018375E-2</v>
      </c>
      <c r="AE7" s="1">
        <f t="shared" ca="1" si="3"/>
        <v>1.6919247521365248E-2</v>
      </c>
      <c r="AF7" s="1">
        <f t="shared" ca="1" si="3"/>
        <v>1.381930048811752E-2</v>
      </c>
      <c r="AG7" s="1">
        <f t="shared" ca="1" si="3"/>
        <v>1.1296138578676932E-2</v>
      </c>
      <c r="AH7" s="1">
        <f t="shared" ca="1" si="3"/>
        <v>9.240415329560275E-3</v>
      </c>
      <c r="AI7" s="1">
        <f ca="1">AH7*EXP(-AH8)/(1-EXP(-AI8))</f>
        <v>4.1815517680819078E-2</v>
      </c>
    </row>
    <row r="8" spans="1:35">
      <c r="A8" s="5"/>
      <c r="B8" s="25"/>
      <c r="C8" s="25"/>
      <c r="J8" t="s">
        <v>11</v>
      </c>
      <c r="K8" s="1">
        <f ca="1">M+f1_*flt1_ +f2_*flt2_ +f3_*flt3_</f>
        <v>0.15000000014916756</v>
      </c>
      <c r="L8" s="1">
        <f t="shared" ref="L8:AI8" ca="1" si="4">M+f1_*flt1_ +f2_*flt2_ +f3_*flt3_</f>
        <v>0.15000000242289618</v>
      </c>
      <c r="M8" s="1">
        <f t="shared" ca="1" si="4"/>
        <v>0.15000183304507569</v>
      </c>
      <c r="N8" s="1">
        <f t="shared" ca="1" si="4"/>
        <v>0.19429224241815571</v>
      </c>
      <c r="O8" s="1">
        <f t="shared" ca="1" si="4"/>
        <v>0.22813998325362125</v>
      </c>
      <c r="P8" s="1">
        <f t="shared" ca="1" si="4"/>
        <v>0.22891685675475729</v>
      </c>
      <c r="Q8" s="1">
        <f t="shared" ca="1" si="4"/>
        <v>0.21605704283939214</v>
      </c>
      <c r="R8" s="1">
        <f t="shared" ca="1" si="4"/>
        <v>0.21962859767913701</v>
      </c>
      <c r="S8" s="1">
        <f t="shared" ca="1" si="4"/>
        <v>0.22670537948317623</v>
      </c>
      <c r="T8" s="1">
        <f t="shared" ca="1" si="4"/>
        <v>0.22305418022825854</v>
      </c>
      <c r="U8" s="1">
        <f t="shared" ca="1" si="4"/>
        <v>0.21873253045492808</v>
      </c>
      <c r="V8" s="1">
        <f t="shared" ca="1" si="4"/>
        <v>0.21534087000908478</v>
      </c>
      <c r="W8" s="1">
        <f t="shared" ca="1" si="4"/>
        <v>0.21271341768004637</v>
      </c>
      <c r="X8" s="1">
        <f t="shared" ca="1" si="4"/>
        <v>0.21062519456877404</v>
      </c>
      <c r="Y8" s="1">
        <f t="shared" ca="1" si="4"/>
        <v>0.20891517630640105</v>
      </c>
      <c r="Z8" s="1">
        <f t="shared" ca="1" si="4"/>
        <v>0.2074738650238655</v>
      </c>
      <c r="AA8" s="1">
        <f t="shared" ca="1" si="4"/>
        <v>0.20622705651297008</v>
      </c>
      <c r="AB8" s="1">
        <f t="shared" ca="1" si="4"/>
        <v>0.20512430207489388</v>
      </c>
      <c r="AC8" s="1">
        <f t="shared" ca="1" si="4"/>
        <v>0.20413111695039982</v>
      </c>
      <c r="AD8" s="1">
        <f t="shared" ca="1" si="4"/>
        <v>0.2032237506705506</v>
      </c>
      <c r="AE8" s="1">
        <f t="shared" ca="1" si="4"/>
        <v>0.2023856793085447</v>
      </c>
      <c r="AF8" s="1">
        <f t="shared" ca="1" si="4"/>
        <v>0.20160525253004236</v>
      </c>
      <c r="AG8" s="1">
        <f t="shared" ca="1" si="4"/>
        <v>0.20087411488797585</v>
      </c>
      <c r="AH8" s="1">
        <f t="shared" ca="1" si="4"/>
        <v>0.20018614620363054</v>
      </c>
      <c r="AI8" s="1">
        <f t="shared" ca="1" si="4"/>
        <v>0.19953674997742404</v>
      </c>
    </row>
    <row r="9" spans="1:35">
      <c r="A9" s="11" t="s">
        <v>73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5">EXP(-za)</f>
        <v>0.86070797629666806</v>
      </c>
      <c r="L10" s="1">
        <f t="shared" ca="1" si="5"/>
        <v>0.86070797433965174</v>
      </c>
      <c r="M10" s="1">
        <f t="shared" ca="1" si="5"/>
        <v>0.860706398709986</v>
      </c>
      <c r="N10" s="1">
        <f t="shared" ca="1" si="5"/>
        <v>0.82341723165998582</v>
      </c>
      <c r="O10" s="1">
        <f t="shared" ca="1" si="5"/>
        <v>0.79601282357106251</v>
      </c>
      <c r="P10" s="1">
        <f t="shared" ca="1" si="5"/>
        <v>0.79539466244945312</v>
      </c>
      <c r="Q10" s="1">
        <f t="shared" ca="1" si="5"/>
        <v>0.80568934175492257</v>
      </c>
      <c r="R10" s="1">
        <f t="shared" ca="1" si="5"/>
        <v>0.80281691066302552</v>
      </c>
      <c r="S10" s="1">
        <f t="shared" ca="1" si="5"/>
        <v>0.79715560609314207</v>
      </c>
      <c r="T10" s="1">
        <f t="shared" ca="1" si="5"/>
        <v>0.80007150006373251</v>
      </c>
      <c r="U10" s="1">
        <f t="shared" ca="1" si="5"/>
        <v>0.80353661098549034</v>
      </c>
      <c r="V10" s="1">
        <f t="shared" ca="1" si="5"/>
        <v>0.80626656124094076</v>
      </c>
      <c r="W10" s="1">
        <f t="shared" ca="1" si="5"/>
        <v>0.80838777366704695</v>
      </c>
      <c r="X10" s="1">
        <f t="shared" ca="1" si="5"/>
        <v>0.81007763148488665</v>
      </c>
      <c r="Y10" s="1">
        <f t="shared" ca="1" si="5"/>
        <v>0.81146406410336813</v>
      </c>
      <c r="Z10" s="1">
        <f t="shared" ca="1" si="5"/>
        <v>0.81263447967830282</v>
      </c>
      <c r="AA10" s="1">
        <f t="shared" ca="1" si="5"/>
        <v>0.81364831115933633</v>
      </c>
      <c r="AB10" s="1">
        <f t="shared" ca="1" si="5"/>
        <v>0.81454606035297739</v>
      </c>
      <c r="AC10" s="1">
        <f t="shared" ca="1" si="5"/>
        <v>0.8153554572572842</v>
      </c>
      <c r="AD10" s="1">
        <f t="shared" ca="1" si="5"/>
        <v>0.81609561905343608</v>
      </c>
      <c r="AE10" s="1">
        <f t="shared" ca="1" si="5"/>
        <v>0.81677985209843484</v>
      </c>
      <c r="AF10" s="1">
        <f t="shared" ca="1" si="5"/>
        <v>0.81741753776827408</v>
      </c>
      <c r="AG10" s="1">
        <f t="shared" ca="1" si="5"/>
        <v>0.81801540103295778</v>
      </c>
      <c r="AH10" s="1">
        <f t="shared" ca="1" si="5"/>
        <v>0.81857836364029846</v>
      </c>
      <c r="AI10" s="1">
        <f t="shared" ca="1" si="5"/>
        <v>0.81911011798144462</v>
      </c>
    </row>
    <row r="11" spans="1:35">
      <c r="A11" s="5">
        <v>1</v>
      </c>
      <c r="B11" s="24">
        <v>0.33333000000000002</v>
      </c>
      <c r="C11" s="17">
        <f ca="1">mpr1_/SUM(mpr1_,mpr2_,mpr3_)</f>
        <v>0.21582762401479208</v>
      </c>
      <c r="J11" t="s">
        <v>56</v>
      </c>
      <c r="K11" s="1">
        <f ca="1">1-sa</f>
        <v>0.13929202370333194</v>
      </c>
      <c r="L11" s="1">
        <f t="shared" ref="L11:AI11" ca="1" si="6">1-sa</f>
        <v>0.13929202566034826</v>
      </c>
      <c r="M11" s="1">
        <f t="shared" ca="1" si="6"/>
        <v>0.139293601290014</v>
      </c>
      <c r="N11" s="1">
        <f t="shared" ca="1" si="6"/>
        <v>0.17658276834001418</v>
      </c>
      <c r="O11" s="1">
        <f t="shared" ca="1" si="6"/>
        <v>0.20398717642893749</v>
      </c>
      <c r="P11" s="1">
        <f t="shared" ca="1" si="6"/>
        <v>0.20460533755054688</v>
      </c>
      <c r="Q11" s="1">
        <f t="shared" ca="1" si="6"/>
        <v>0.19431065824507743</v>
      </c>
      <c r="R11" s="1">
        <f t="shared" ca="1" si="6"/>
        <v>0.19718308933697448</v>
      </c>
      <c r="S11" s="1">
        <f t="shared" ca="1" si="6"/>
        <v>0.20284439390685793</v>
      </c>
      <c r="T11" s="1">
        <f t="shared" ca="1" si="6"/>
        <v>0.19992849993626749</v>
      </c>
      <c r="U11" s="1">
        <f t="shared" ca="1" si="6"/>
        <v>0.19646338901450966</v>
      </c>
      <c r="V11" s="1">
        <f t="shared" ca="1" si="6"/>
        <v>0.19373343875905924</v>
      </c>
      <c r="W11" s="1">
        <f t="shared" ca="1" si="6"/>
        <v>0.19161222633295305</v>
      </c>
      <c r="X11" s="1">
        <f t="shared" ca="1" si="6"/>
        <v>0.18992236851511335</v>
      </c>
      <c r="Y11" s="1">
        <f t="shared" ca="1" si="6"/>
        <v>0.18853593589663187</v>
      </c>
      <c r="Z11" s="1">
        <f t="shared" ca="1" si="6"/>
        <v>0.18736552032169718</v>
      </c>
      <c r="AA11" s="1">
        <f t="shared" ca="1" si="6"/>
        <v>0.18635168884066367</v>
      </c>
      <c r="AB11" s="1">
        <f t="shared" ca="1" si="6"/>
        <v>0.18545393964702261</v>
      </c>
      <c r="AC11" s="1">
        <f t="shared" ca="1" si="6"/>
        <v>0.1846445427427158</v>
      </c>
      <c r="AD11" s="1">
        <f t="shared" ca="1" si="6"/>
        <v>0.18390438094656392</v>
      </c>
      <c r="AE11" s="1">
        <f t="shared" ca="1" si="6"/>
        <v>0.18322014790156516</v>
      </c>
      <c r="AF11" s="1">
        <f t="shared" ca="1" si="6"/>
        <v>0.18258246223172592</v>
      </c>
      <c r="AG11" s="1">
        <f t="shared" ca="1" si="6"/>
        <v>0.18198459896704222</v>
      </c>
      <c r="AH11" s="1">
        <f t="shared" ca="1" si="6"/>
        <v>0.18142163635970154</v>
      </c>
      <c r="AI11" s="1">
        <f t="shared" ca="1" si="6"/>
        <v>0.18088988201855538</v>
      </c>
    </row>
    <row r="12" spans="1:35">
      <c r="A12" s="5">
        <v>2</v>
      </c>
      <c r="B12" s="24">
        <v>0.33333000000000002</v>
      </c>
      <c r="C12" s="17">
        <f ca="1">mpr2_/SUM(mpr1_,mpr2_,mpr3_)</f>
        <v>0.49099832339251331</v>
      </c>
      <c r="J12" t="s">
        <v>99</v>
      </c>
      <c r="K12">
        <f>1/(1+EXP(($E18-len)/2.5))</f>
        <v>9.0219231636339836E-11</v>
      </c>
      <c r="L12">
        <f t="shared" ref="L12:AI12" si="7">1/(1+EXP(($E18-len)/2.5))</f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4">
        <f>1-SUM(B11:B12)</f>
        <v>0.33333999999999997</v>
      </c>
      <c r="C13" s="17">
        <f ca="1">mpr3_/SUM(mpr1_,mpr2_,mpr3_)</f>
        <v>0.29317405259269458</v>
      </c>
      <c r="J13" t="s">
        <v>100</v>
      </c>
      <c r="K13">
        <f>1/(1+EXP(($E19-len)/2.5))</f>
        <v>2.8615384001520327E-31</v>
      </c>
      <c r="L13">
        <f t="shared" ref="L13:Q14" si="8">1/(1+EXP(($E19-len)/2.5))</f>
        <v>6.4638901437627282E-28</v>
      </c>
      <c r="M13">
        <f t="shared" si="8"/>
        <v>3.0805838345340316E-25</v>
      </c>
      <c r="N13">
        <f t="shared" si="8"/>
        <v>4.238093285628793E-23</v>
      </c>
      <c r="O13">
        <f t="shared" si="8"/>
        <v>2.16185904318358E-21</v>
      </c>
      <c r="P13">
        <f t="shared" si="8"/>
        <v>4.9936612036531434E-20</v>
      </c>
      <c r="Q13">
        <f t="shared" si="8"/>
        <v>6.1273002576099619E-19</v>
      </c>
      <c r="R13">
        <f>1/(1+EXP(($E19-len)/2.5))</f>
        <v>4.5366326928830985E-18</v>
      </c>
      <c r="S13">
        <f t="shared" ref="S13:AI13" si="9">1/(1+EXP(($E19-len)/2.5))</f>
        <v>2.2439598781379191E-17</v>
      </c>
      <c r="T13">
        <f t="shared" si="9"/>
        <v>8.042852444534708E-17</v>
      </c>
      <c r="U13">
        <f t="shared" si="9"/>
        <v>2.2289663449176448E-16</v>
      </c>
      <c r="V13">
        <f t="shared" si="9"/>
        <v>5.0303867830641565E-16</v>
      </c>
      <c r="W13">
        <f t="shared" si="9"/>
        <v>9.6355200557152212E-16</v>
      </c>
      <c r="X13">
        <f t="shared" si="9"/>
        <v>1.6191062594238449E-15</v>
      </c>
      <c r="Y13">
        <f t="shared" si="9"/>
        <v>2.4505358525065035E-15</v>
      </c>
      <c r="Z13">
        <f t="shared" si="9"/>
        <v>3.4117921739414806E-15</v>
      </c>
      <c r="AA13">
        <f t="shared" si="9"/>
        <v>4.4437183377328531E-15</v>
      </c>
      <c r="AB13">
        <f t="shared" si="9"/>
        <v>5.4876626179621798E-15</v>
      </c>
      <c r="AC13">
        <f t="shared" si="9"/>
        <v>6.494775317669164E-15</v>
      </c>
      <c r="AD13">
        <f t="shared" si="9"/>
        <v>7.4301389597256151E-15</v>
      </c>
      <c r="AE13">
        <f t="shared" si="9"/>
        <v>8.2728753022265478E-15</v>
      </c>
      <c r="AF13">
        <f t="shared" si="9"/>
        <v>9.0139444923890344E-15</v>
      </c>
      <c r="AG13">
        <f t="shared" si="9"/>
        <v>9.6530891475505879E-15</v>
      </c>
      <c r="AH13">
        <f t="shared" si="9"/>
        <v>1.0195847297195134E-14</v>
      </c>
      <c r="AI13">
        <f t="shared" si="9"/>
        <v>1.0651080734043381E-14</v>
      </c>
    </row>
    <row r="14" spans="1:35">
      <c r="A14" s="26" t="s">
        <v>49</v>
      </c>
      <c r="B14" s="29">
        <v>0.4</v>
      </c>
      <c r="C14" s="28">
        <f ca="1">spr</f>
        <v>0.4370562368756763</v>
      </c>
      <c r="J14" t="s">
        <v>101</v>
      </c>
      <c r="K14">
        <f>1/(1+EXP(($E20-len)/2.5))</f>
        <v>5.4297993937589625E-8</v>
      </c>
      <c r="L14">
        <f t="shared" si="8"/>
        <v>1.2263796420157309E-4</v>
      </c>
      <c r="M14">
        <f t="shared" si="8"/>
        <v>5.5226193020916074E-2</v>
      </c>
      <c r="N14">
        <f t="shared" si="8"/>
        <v>0.88940288641421117</v>
      </c>
      <c r="O14">
        <f t="shared" si="8"/>
        <v>0.99756818246884538</v>
      </c>
      <c r="P14">
        <f t="shared" si="8"/>
        <v>0.99989447609240778</v>
      </c>
      <c r="Q14">
        <f t="shared" si="8"/>
        <v>0.99999139912032553</v>
      </c>
      <c r="R14">
        <f>1/(1+EXP(($E20-len)/2.5))</f>
        <v>0.99999883833301351</v>
      </c>
      <c r="S14">
        <f t="shared" ref="S14:AI14" si="10">1/(1+EXP(($E20-len)/2.5))</f>
        <v>0.99999976514458366</v>
      </c>
      <c r="T14">
        <f t="shared" si="10"/>
        <v>0.99999993447520963</v>
      </c>
      <c r="U14">
        <f t="shared" si="10"/>
        <v>0.99999997635647386</v>
      </c>
      <c r="V14">
        <f t="shared" si="10"/>
        <v>0.99999998952354419</v>
      </c>
      <c r="W14">
        <f t="shared" si="10"/>
        <v>0.99999999453058841</v>
      </c>
      <c r="X14">
        <f t="shared" si="10"/>
        <v>0.99999999674507922</v>
      </c>
      <c r="Y14">
        <f t="shared" si="10"/>
        <v>0.9999999978494245</v>
      </c>
      <c r="Z14">
        <f t="shared" si="10"/>
        <v>0.99999999845533893</v>
      </c>
      <c r="AA14">
        <f t="shared" si="10"/>
        <v>0.99999999881404222</v>
      </c>
      <c r="AB14">
        <f t="shared" si="10"/>
        <v>0.99999999903965264</v>
      </c>
      <c r="AC14">
        <f t="shared" si="10"/>
        <v>0.99999999918856886</v>
      </c>
      <c r="AD14">
        <f t="shared" si="10"/>
        <v>0.99999999929071826</v>
      </c>
      <c r="AE14">
        <f t="shared" si="10"/>
        <v>0.9999999993629709</v>
      </c>
      <c r="AF14">
        <f t="shared" si="10"/>
        <v>0.99999999941534345</v>
      </c>
      <c r="AG14">
        <f t="shared" si="10"/>
        <v>0.99999999945405427</v>
      </c>
      <c r="AH14">
        <f t="shared" si="10"/>
        <v>0.9999999994831168</v>
      </c>
      <c r="AI14">
        <f t="shared" si="10"/>
        <v>0.99999999950520868</v>
      </c>
    </row>
    <row r="15" spans="1:35">
      <c r="A15" s="5"/>
      <c r="B15" s="25" t="s">
        <v>50</v>
      </c>
      <c r="C15" s="25">
        <f ca="1">SUMXMY2(B14,C14)</f>
        <v>1.37316469138623E-3</v>
      </c>
    </row>
    <row r="17" spans="1:35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0.16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4.0188045298347197E-9</v>
      </c>
      <c r="L18" s="4">
        <f>((EXP(g*(ah-age)/gh)/(1+EXP((ah-age)/gh))) *(1/(1-g))*((1-g)/g)^g) *(sr+(1-sr)*dmr)</f>
        <v>4.8957876563667651E-8</v>
      </c>
      <c r="M18" s="4">
        <f>((EXP(g*(ah-age)/gh)/(1+EXP((ah-age)/gh))) *(1/(1-g))*((1-g)/g)^g) *(sr+(1-sr)*dmr)</f>
        <v>5.967155322076307E-7</v>
      </c>
      <c r="N18" s="4">
        <f>((EXP(g*(ah-age)/gh)/(1+EXP((ah-age)/gh))) *(1/(1-g))*((1-g)/g)^g) *(sr+(1-sr)*dmr)</f>
        <v>7.7682365309080335E-6</v>
      </c>
      <c r="O18" s="4">
        <f>((EXP(g*(ah-age)/gh)/(1+EXP((ah-age)/gh))) *(1/(1-g))*((1-g)/g)^g) *(sr+(1-sr)*dmr)</f>
        <v>2.767069814861237E-4</v>
      </c>
      <c r="P18" s="4">
        <f>((EXP(g*(ah-age)/gh)/(1+EXP((ah-age)/gh))) *(1/(1-g))*((1-g)/g)^g) *(sr+(1-sr)*dmr)</f>
        <v>6.358205154749475E-3</v>
      </c>
      <c r="Q18" s="4">
        <f>((EXP(g*(ah-age)/gh)/(1+EXP((ah-age)/gh))) *(1/(1-g))*((1-g)/g)^g) *(sr+(1-sr)*dmr)</f>
        <v>7.5541371430625615E-2</v>
      </c>
      <c r="R18" s="4">
        <f>((EXP(g*(ah-age)/gh)/(1+EXP((ah-age)/gh))) *(1/(1-g))*((1-g)/g)^g) *(sr+(1-sr)*dmr)</f>
        <v>0.49976909633495642</v>
      </c>
      <c r="S18" s="4">
        <f>((EXP(g*(ah-age)/gh)/(1+EXP((ah-age)/gh))) *(1/(1-g))*((1-g)/g)^g) *(sr+(1-sr)*dmr)</f>
        <v>0.92412463830274882</v>
      </c>
      <c r="T18" s="4">
        <f>((EXP(g*(ah-age)/gh)/(1+EXP((ah-age)/gh))) *(1/(1-g))*((1-g)/g)^g) *(sr+(1-sr)*dmr)</f>
        <v>0.99334887273943417</v>
      </c>
      <c r="U18" s="4">
        <f>((EXP(g*(ah-age)/gh)/(1+EXP((ah-age)/gh))) *(1/(1-g))*((1-g)/g)^g) *(sr+(1-sr)*dmr)</f>
        <v>0.99948537731064468</v>
      </c>
      <c r="V18" s="4">
        <f>((EXP(g*(ah-age)/gh)/(1+EXP((ah-age)/gh))) *(1/(1-g))*((1-g)/g)^g) *(sr+(1-sr)*dmr)</f>
        <v>0.99997443428106936</v>
      </c>
      <c r="W18" s="4">
        <f>((EXP(g*(ah-age)/gh)/(1+EXP((ah-age)/gh))) *(1/(1-g))*((1-g)/g)^g) *(sr+(1-sr)*dmr)</f>
        <v>0.99999363752380821</v>
      </c>
      <c r="X18" s="4">
        <f>((EXP(g*(ah-age)/gh)/(1+EXP((ah-age)/gh))) *(1/(1-g))*((1-g)/g)^g) *(sr+(1-sr)*dmr)</f>
        <v>0.99997317813932285</v>
      </c>
      <c r="Y18" s="4">
        <f>((EXP(g*(ah-age)/gh)/(1+EXP((ah-age)/gh))) *(1/(1-g))*((1-g)/g)^g) *(sr+(1-sr)*dmr)</f>
        <v>0.99994901817197135</v>
      </c>
      <c r="Z18" s="4">
        <f>((EXP(g*(ah-age)/gh)/(1+EXP((ah-age)/gh))) *(1/(1-g))*((1-g)/g)^g) *(sr+(1-sr)*dmr)</f>
        <v>0.99992434910244599</v>
      </c>
      <c r="AA18" s="4">
        <f>((EXP(g*(ah-age)/gh)/(1+EXP((ah-age)/gh))) *(1/(1-g))*((1-g)/g)^g) *(sr+(1-sr)*dmr)</f>
        <v>0.99989953452192126</v>
      </c>
      <c r="AB18" s="4">
        <f>((EXP(g*(ah-age)/gh)/(1+EXP((ah-age)/gh))) *(1/(1-g))*((1-g)/g)^g) *(sr+(1-sr)*dmr)</f>
        <v>0.99987465154422961</v>
      </c>
      <c r="AC18" s="4">
        <f>((EXP(g*(ah-age)/gh)/(1+EXP((ah-age)/gh))) *(1/(1-g))*((1-g)/g)^g) *(sr+(1-sr)*dmr)</f>
        <v>0.99984973027640578</v>
      </c>
      <c r="AD18" s="4">
        <f>((EXP(g*(ah-age)/gh)/(1+EXP((ah-age)/gh))) *(1/(1-g))*((1-g)/g)^g) *(sr+(1-sr)*dmr)</f>
        <v>0.99982478597910507</v>
      </c>
      <c r="AE18" s="4">
        <f>((EXP(g*(ah-age)/gh)/(1+EXP((ah-age)/gh))) *(1/(1-g))*((1-g)/g)^g) *(sr+(1-sr)*dmr)</f>
        <v>0.99979982719199456</v>
      </c>
      <c r="AF18" s="4">
        <f>((EXP(g*(ah-age)/gh)/(1+EXP((ah-age)/gh))) *(1/(1-g))*((1-g)/g)^g) *(sr+(1-sr)*dmr)</f>
        <v>0.99977485897968454</v>
      </c>
      <c r="AG18" s="4">
        <f>((EXP(g*(ah-age)/gh)/(1+EXP((ah-age)/gh))) *(1/(1-g))*((1-g)/g)^g) *(sr+(1-sr)*dmr)</f>
        <v>0.99974988448604474</v>
      </c>
      <c r="AH18" s="4">
        <f>((EXP(g*(ah-age)/gh)/(1+EXP((ah-age)/gh))) *(1/(1-g))*((1-g)/g)^g) *(sr+(1-sr)*dmr)</f>
        <v>0.99972490573983031</v>
      </c>
      <c r="AI18" s="4">
        <f>((EXP(g*(ah-age)/gh)/(1+EXP((ah-age)/gh))) *(1/(1-g))*((1-g)/g)^g) *(sr+(1-sr)*dmr)</f>
        <v>0.99969992409479524</v>
      </c>
    </row>
    <row r="19" spans="1:35">
      <c r="A19" t="s">
        <v>21</v>
      </c>
      <c r="B19">
        <v>12</v>
      </c>
      <c r="E19">
        <v>200</v>
      </c>
      <c r="F19">
        <v>0.8</v>
      </c>
      <c r="G19" s="3">
        <v>4</v>
      </c>
      <c r="H19" s="3">
        <v>0.05</v>
      </c>
      <c r="I19" s="7">
        <v>0.02</v>
      </c>
      <c r="J19" s="8" t="s">
        <v>17</v>
      </c>
      <c r="K19" s="4">
        <f>((EXP(g*(ah-age)/gh)/(1+EXP((ah-age)/gh))) *(1/(1-g))*((1-g)/g)^g) *(sr+(1-sr)*dmr)</f>
        <v>2.565383499271103E-26</v>
      </c>
      <c r="L19" s="4">
        <f>((EXP(g*(ah-age)/gh)/(1+EXP((ah-age)/gh))) *(1/(1-g))*((1-g)/g)^g) *(sr+(1-sr)*dmr)</f>
        <v>8.3430369002290449E-18</v>
      </c>
      <c r="M19" s="4">
        <f>((EXP(g*(ah-age)/gh)/(1+EXP((ah-age)/gh))) *(1/(1-g))*((1-g)/g)^g) *(sr+(1-sr)*dmr)</f>
        <v>2.7133544545124503E-9</v>
      </c>
      <c r="N19" s="4">
        <f>((EXP(g*(ah-age)/gh)/(1+EXP((ah-age)/gh))) *(1/(1-g))*((1-g)/g)^g) *(sr+(1-sr)*dmr)</f>
        <v>0.44265676870767573</v>
      </c>
      <c r="O19" s="4">
        <f>((EXP(g*(ah-age)/gh)/(1+EXP((ah-age)/gh))) *(1/(1-g))*((1-g)/g)^g) *(sr+(1-sr)*dmr)</f>
        <v>0.65143063328727313</v>
      </c>
      <c r="P19" s="4">
        <f>((EXP(g*(ah-age)/gh)/(1+EXP((ah-age)/gh))) *(1/(1-g))*((1-g)/g)^g) *(sr+(1-sr)*dmr)</f>
        <v>0.48969267383017706</v>
      </c>
      <c r="Q19" s="4">
        <f>((EXP(g*(ah-age)/gh)/(1+EXP((ah-age)/gh))) *(1/(1-g))*((1-g)/g)^g) *(sr+(1-sr)*dmr)</f>
        <v>0.33187682954937608</v>
      </c>
      <c r="R19" s="4">
        <f>((EXP(g*(ah-age)/gh)/(1+EXP((ah-age)/gh))) *(1/(1-g))*((1-g)/g)^g) *(sr+(1-sr)*dmr)</f>
        <v>0.22266193871474105</v>
      </c>
      <c r="S19" s="4">
        <f>((EXP(g*(ah-age)/gh)/(1+EXP((ah-age)/gh))) *(1/(1-g))*((1-g)/g)^g) *(sr+(1-sr)*dmr)</f>
        <v>0.14927140014310977</v>
      </c>
      <c r="T19" s="4">
        <f>((EXP(g*(ah-age)/gh)/(1+EXP((ah-age)/gh))) *(1/(1-g))*((1-g)/g)^g) *(sr+(1-sr)*dmr)</f>
        <v>0.10006165093630166</v>
      </c>
      <c r="U19" s="4">
        <f>((EXP(g*(ah-age)/gh)/(1+EXP((ah-age)/gh))) *(1/(1-g))*((1-g)/g)^g) *(sr+(1-sr)*dmr)</f>
        <v>6.7073668577064968E-2</v>
      </c>
      <c r="V19" s="4">
        <f>((EXP(g*(ah-age)/gh)/(1+EXP((ah-age)/gh))) *(1/(1-g))*((1-g)/g)^g) *(sr+(1-sr)*dmr)</f>
        <v>4.4960895865833919E-2</v>
      </c>
      <c r="W19" s="4">
        <f>((EXP(g*(ah-age)/gh)/(1+EXP((ah-age)/gh))) *(1/(1-g))*((1-g)/g)^g) *(sr+(1-sr)*dmr)</f>
        <v>3.0138207950512599E-2</v>
      </c>
      <c r="X19" s="4">
        <f>((EXP(g*(ah-age)/gh)/(1+EXP((ah-age)/gh))) *(1/(1-g))*((1-g)/g)^g) *(sr+(1-sr)*dmr)</f>
        <v>2.0202250325825576E-2</v>
      </c>
      <c r="Y19" s="4">
        <f>((EXP(g*(ah-age)/gh)/(1+EXP((ah-age)/gh))) *(1/(1-g))*((1-g)/g)^g) *(sr+(1-sr)*dmr)</f>
        <v>1.3541975168545823E-2</v>
      </c>
      <c r="Z19" s="4">
        <f>((EXP(g*(ah-age)/gh)/(1+EXP((ah-age)/gh))) *(1/(1-g))*((1-g)/g)^g) *(sr+(1-sr)*dmr)</f>
        <v>9.0774580804409925E-3</v>
      </c>
      <c r="AA19" s="4">
        <f>((EXP(g*(ah-age)/gh)/(1+EXP((ah-age)/gh))) *(1/(1-g))*((1-g)/g)^g) *(sr+(1-sr)*dmr)</f>
        <v>6.084802381089406E-3</v>
      </c>
      <c r="AB19" s="4">
        <f>((EXP(g*(ah-age)/gh)/(1+EXP((ah-age)/gh))) *(1/(1-g))*((1-g)/g)^g) *(sr+(1-sr)*dmr)</f>
        <v>4.0787651229744837E-3</v>
      </c>
      <c r="AC19" s="4">
        <f>((EXP(g*(ah-age)/gh)/(1+EXP((ah-age)/gh))) *(1/(1-g))*((1-g)/g)^g) *(sr+(1-sr)*dmr)</f>
        <v>2.7340780740088763E-3</v>
      </c>
      <c r="AD19" s="4">
        <f>((EXP(g*(ah-age)/gh)/(1+EXP((ah-age)/gh))) *(1/(1-g))*((1-g)/g)^g) *(sr+(1-sr)*dmr)</f>
        <v>1.8327073629688865E-3</v>
      </c>
      <c r="AE19" s="4">
        <f>((EXP(g*(ah-age)/gh)/(1+EXP((ah-age)/gh))) *(1/(1-g))*((1-g)/g)^g) *(sr+(1-sr)*dmr)</f>
        <v>1.228500494599402E-3</v>
      </c>
      <c r="AF19" s="4">
        <f>((EXP(g*(ah-age)/gh)/(1+EXP((ah-age)/gh))) *(1/(1-g))*((1-g)/g)^g) *(sr+(1-sr)*dmr)</f>
        <v>8.2348851328596499E-4</v>
      </c>
      <c r="AG19" s="4">
        <f>((EXP(g*(ah-age)/gh)/(1+EXP((ah-age)/gh))) *(1/(1-g))*((1-g)/g)^g) *(sr+(1-sr)*dmr)</f>
        <v>5.5200086070776827E-4</v>
      </c>
      <c r="AH19" s="4">
        <f>((EXP(g*(ah-age)/gh)/(1+EXP((ah-age)/gh))) *(1/(1-g))*((1-g)/g)^g) *(sr+(1-sr)*dmr)</f>
        <v>3.7001724365574488E-4</v>
      </c>
      <c r="AI19" s="4">
        <f>((EXP(g*(ah-age)/gh)/(1+EXP((ah-age)/gh))) *(1/(1-g))*((1-g)/g)^g) *(sr+(1-sr)*dmr)</f>
        <v>2.480299764608554E-4</v>
      </c>
    </row>
    <row r="20" spans="1:35">
      <c r="A20" t="s">
        <v>5</v>
      </c>
      <c r="B20">
        <v>0.15</v>
      </c>
      <c r="E20">
        <v>66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>((EXP(g*(ah-age)/gh)/(1+EXP((ah-age)/gh))) *(1/(1-g))*((1-g)/g)^g) *(sr+(1-sr)*dmr)</f>
        <v>7.3606737684183437E-13</v>
      </c>
      <c r="L20" s="4">
        <f>((EXP(g*(ah-age)/gh)/(1+EXP((ah-age)/gh))) *(1/(1-g))*((1-g)/g)^g) *(sr+(1-sr)*dmr)</f>
        <v>1.7926207250107456E-8</v>
      </c>
      <c r="M20" s="4">
        <f>((EXP(g*(ah-age)/gh)/(1+EXP((ah-age)/gh))) *(1/(1-g))*((1-g)/g)^g) *(sr+(1-sr)*dmr)</f>
        <v>5.3559713994076082E-5</v>
      </c>
      <c r="N20" s="4">
        <f>((EXP(g*(ah-age)/gh)/(1+EXP((ah-age)/gh))) *(1/(1-g))*((1-g)/g)^g) *(sr+(1-sr)*dmr)</f>
        <v>1.2785190608585748E-2</v>
      </c>
      <c r="O20" s="4">
        <f>((EXP(g*(ah-age)/gh)/(1+EXP((ah-age)/gh))) *(1/(1-g))*((1-g)/g)^g) *(sr+(1-sr)*dmr)</f>
        <v>0.40182528269443096</v>
      </c>
      <c r="P20" s="4">
        <f>((EXP(g*(ah-age)/gh)/(1+EXP((ah-age)/gh))) *(1/(1-g))*((1-g)/g)^g) *(sr+(1-sr)*dmr)</f>
        <v>0.8921741086601318</v>
      </c>
      <c r="Q20" s="4">
        <f>((EXP(g*(ah-age)/gh)/(1+EXP((ah-age)/gh))) *(1/(1-g))*((1-g)/g)^g) *(sr+(1-sr)*dmr)</f>
        <v>0.89837349793125421</v>
      </c>
      <c r="R20" s="4">
        <f>((EXP(g*(ah-age)/gh)/(1+EXP((ah-age)/gh))) *(1/(1-g))*((1-g)/g)^g) *(sr+(1-sr)*dmr)</f>
        <v>0.85841851954711956</v>
      </c>
      <c r="S20" s="4">
        <f>((EXP(g*(ah-age)/gh)/(1+EXP((ah-age)/gh))) *(1/(1-g))*((1-g)/g)^g) *(sr+(1-sr)*dmr)</f>
        <v>0.81701115611962682</v>
      </c>
      <c r="T20" s="4">
        <f>((EXP(g*(ah-age)/gh)/(1+EXP((ah-age)/gh))) *(1/(1-g))*((1-g)/g)^g) *(sr+(1-sr)*dmr)</f>
        <v>0.77724446850090612</v>
      </c>
      <c r="U20" s="4">
        <f>((EXP(g*(ah-age)/gh)/(1+EXP((ah-age)/gh))) *(1/(1-g))*((1-g)/g)^g) *(sr+(1-sr)*dmr)</f>
        <v>0.73935646101799879</v>
      </c>
      <c r="V20" s="4">
        <f>((EXP(g*(ah-age)/gh)/(1+EXP((ah-age)/gh))) *(1/(1-g))*((1-g)/g)^g) *(sr+(1-sr)*dmr)</f>
        <v>0.70330319551801679</v>
      </c>
      <c r="W20" s="4">
        <f>((EXP(g*(ah-age)/gh)/(1+EXP((ah-age)/gh))) *(1/(1-g))*((1-g)/g)^g) *(sr+(1-sr)*dmr)</f>
        <v>0.66900471003542772</v>
      </c>
      <c r="X20" s="4">
        <f>((EXP(g*(ah-age)/gh)/(1+EXP((ah-age)/gh))) *(1/(1-g))*((1-g)/g)^g) *(sr+(1-sr)*dmr)</f>
        <v>0.63637781347243549</v>
      </c>
      <c r="Y20" s="4">
        <f>((EXP(g*(ah-age)/gh)/(1+EXP((ah-age)/gh))) *(1/(1-g))*((1-g)/g)^g) *(sr+(1-sr)*dmr)</f>
        <v>0.60534170361138351</v>
      </c>
      <c r="Z20" s="4">
        <f>((EXP(g*(ah-age)/gh)/(1+EXP((ah-age)/gh))) *(1/(1-g))*((1-g)/g)^g) *(sr+(1-sr)*dmr)</f>
        <v>0.57581905033431313</v>
      </c>
      <c r="AA20" s="4">
        <f>((EXP(g*(ah-age)/gh)/(1+EXP((ah-age)/gh))) *(1/(1-g))*((1-g)/g)^g) *(sr+(1-sr)*dmr)</f>
        <v>0.54773614211329147</v>
      </c>
      <c r="AB20" s="4">
        <f>((EXP(g*(ah-age)/gh)/(1+EXP((ah-age)/gh))) *(1/(1-g))*((1-g)/g)^g) *(sr+(1-sr)*dmr)</f>
        <v>0.52102280598640405</v>
      </c>
      <c r="AC20" s="4">
        <f>((EXP(g*(ah-age)/gh)/(1+EXP((ah-age)/gh))) *(1/(1-g))*((1-g)/g)^g) *(sr+(1-sr)*dmr)</f>
        <v>0.49561226830919564</v>
      </c>
      <c r="AD20" s="4">
        <f>((EXP(g*(ah-age)/gh)/(1+EXP((ah-age)/gh))) *(1/(1-g))*((1-g)/g)^g) *(sr+(1-sr)*dmr)</f>
        <v>0.4714410017424947</v>
      </c>
      <c r="AE20" s="4">
        <f>((EXP(g*(ah-age)/gh)/(1+EXP((ah-age)/gh))) *(1/(1-g))*((1-g)/g)^g) *(sr+(1-sr)*dmr)</f>
        <v>0.4484485722742993</v>
      </c>
      <c r="AF20" s="4">
        <f>((EXP(g*(ah-age)/gh)/(1+EXP((ah-age)/gh))) *(1/(1-g))*((1-g)/g)^g) *(sr+(1-sr)*dmr)</f>
        <v>0.42657749076841689</v>
      </c>
      <c r="AG20" s="4">
        <f>((EXP(g*(ah-age)/gh)/(1+EXP((ah-age)/gh))) *(1/(1-g))*((1-g)/g)^g) *(sr+(1-sr)*dmr)</f>
        <v>0.40577307050229267</v>
      </c>
      <c r="AH20" s="4">
        <f>((EXP(g*(ah-age)/gh)/(1+EXP((ah-age)/gh))) *(1/(1-g))*((1-g)/g)^g) *(sr+(1-sr)*dmr)</f>
        <v>0.38598329108305446</v>
      </c>
      <c r="AI20" s="4">
        <f>((EXP(g*(ah-age)/gh)/(1+EXP((ah-age)/gh))) *(1/(1-g))*((1-g)/g)^g) *(sr+(1-sr)*dmr)</f>
        <v>0.36715866872552738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ca="1" si="11">wa*flt1_*(1-EXP(-za))/za</f>
        <v>7.8401271045920977E-10</v>
      </c>
      <c r="L22" s="1">
        <f t="shared" ca="1" si="11"/>
        <v>6.396925822640004E-8</v>
      </c>
      <c r="M22" s="1">
        <f t="shared" ca="1" si="11"/>
        <v>2.084063586468579E-6</v>
      </c>
      <c r="N22" s="1">
        <f t="shared" ca="1" si="11"/>
        <v>4.9111885969419862E-5</v>
      </c>
      <c r="O22" s="1">
        <f t="shared" ca="1" si="11"/>
        <v>2.6166366401669276E-3</v>
      </c>
      <c r="P22" s="1">
        <f t="shared" ca="1" si="11"/>
        <v>8.1092694829910481E-2</v>
      </c>
      <c r="Q22" s="1">
        <f t="shared" ca="1" si="11"/>
        <v>1.2089215443806676</v>
      </c>
      <c r="R22" s="1">
        <f t="shared" ca="1" si="11"/>
        <v>9.4267919263175148</v>
      </c>
      <c r="S22" s="1">
        <f t="shared" ca="1" si="11"/>
        <v>19.719638765271458</v>
      </c>
      <c r="T22" s="1">
        <f t="shared" ca="1" si="11"/>
        <v>23.415223710892739</v>
      </c>
      <c r="U22" s="1">
        <f t="shared" ca="1" si="11"/>
        <v>25.47352024699207</v>
      </c>
      <c r="V22" s="1">
        <f t="shared" ca="1" si="11"/>
        <v>27.091116113348466</v>
      </c>
      <c r="W22" s="1">
        <f t="shared" ca="1" si="11"/>
        <v>28.422668033656752</v>
      </c>
      <c r="X22" s="1">
        <f t="shared" ca="1" si="11"/>
        <v>29.517499626057795</v>
      </c>
      <c r="Y22" s="1">
        <f t="shared" ca="1" si="11"/>
        <v>30.413295051723061</v>
      </c>
      <c r="Z22" s="1">
        <f t="shared" ca="1" si="11"/>
        <v>31.143263593523169</v>
      </c>
      <c r="AA22" s="1">
        <f t="shared" ca="1" si="11"/>
        <v>31.736313819454441</v>
      </c>
      <c r="AB22" s="1">
        <f t="shared" ca="1" si="11"/>
        <v>32.217103884452072</v>
      </c>
      <c r="AC22" s="1">
        <f t="shared" ca="1" si="11"/>
        <v>32.60633929534216</v>
      </c>
      <c r="AD22" s="1">
        <f t="shared" ca="1" si="11"/>
        <v>32.921206507807028</v>
      </c>
      <c r="AE22" s="1">
        <f t="shared" ca="1" si="11"/>
        <v>33.17584860880666</v>
      </c>
      <c r="AF22" s="1">
        <f t="shared" ca="1" si="11"/>
        <v>33.38182889395766</v>
      </c>
      <c r="AG22" s="1">
        <f t="shared" ca="1" si="11"/>
        <v>33.548554876475251</v>
      </c>
      <c r="AH22" s="1">
        <f t="shared" ca="1" si="11"/>
        <v>33.683651368501124</v>
      </c>
      <c r="AI22" s="1">
        <f t="shared" ca="1" si="11"/>
        <v>33.793280463315959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2">wa*flt2_*(1-EXP(-za))/za</f>
        <v>5.0047053936051668E-27</v>
      </c>
      <c r="L23" s="1">
        <f t="shared" ca="1" si="12"/>
        <v>1.0901164824195029E-17</v>
      </c>
      <c r="M23" s="1">
        <f t="shared" ca="1" si="12"/>
        <v>9.476547719331177E-9</v>
      </c>
      <c r="N23" s="1">
        <f t="shared" ca="1" si="12"/>
        <v>2.7985384664673774</v>
      </c>
      <c r="O23" s="1">
        <f t="shared" ca="1" si="12"/>
        <v>6.1601527161760634</v>
      </c>
      <c r="P23" s="1">
        <f t="shared" ca="1" si="12"/>
        <v>6.2455516286212243</v>
      </c>
      <c r="Q23" s="1">
        <f t="shared" ca="1" si="12"/>
        <v>5.3111697831889426</v>
      </c>
      <c r="R23" s="1">
        <f t="shared" ca="1" si="12"/>
        <v>4.1999150839201507</v>
      </c>
      <c r="S23" s="1">
        <f t="shared" ca="1" si="12"/>
        <v>3.18526091265633</v>
      </c>
      <c r="T23" s="1">
        <f t="shared" ca="1" si="12"/>
        <v>2.3586536471253923</v>
      </c>
      <c r="U23" s="1">
        <f t="shared" ca="1" si="12"/>
        <v>1.7094821928613957</v>
      </c>
      <c r="V23" s="1">
        <f t="shared" ca="1" si="12"/>
        <v>1.2180719913476439</v>
      </c>
      <c r="W23" s="1">
        <f t="shared" ca="1" si="12"/>
        <v>0.85661372989119611</v>
      </c>
      <c r="X23" s="1">
        <f t="shared" ca="1" si="12"/>
        <v>0.59633591127681151</v>
      </c>
      <c r="Y23" s="1">
        <f t="shared" ca="1" si="12"/>
        <v>0.41187708463078887</v>
      </c>
      <c r="Z23" s="1">
        <f t="shared" ca="1" si="12"/>
        <v>0.28272305801142844</v>
      </c>
      <c r="AA23" s="1">
        <f t="shared" ca="1" si="12"/>
        <v>0.19312860065281229</v>
      </c>
      <c r="AB23" s="1">
        <f t="shared" ca="1" si="12"/>
        <v>0.13142247329122947</v>
      </c>
      <c r="AC23" s="1">
        <f t="shared" ca="1" si="12"/>
        <v>8.9161675641442881E-2</v>
      </c>
      <c r="AD23" s="1">
        <f t="shared" ca="1" si="12"/>
        <v>6.0345510944292677E-2</v>
      </c>
      <c r="AE23" s="1">
        <f t="shared" ca="1" si="12"/>
        <v>4.0764706410423554E-2</v>
      </c>
      <c r="AF23" s="1">
        <f t="shared" ca="1" si="12"/>
        <v>2.7495743066299941E-2</v>
      </c>
      <c r="AG23" s="1">
        <f t="shared" ca="1" si="12"/>
        <v>1.8523464173078014E-2</v>
      </c>
      <c r="AH23" s="1">
        <f t="shared" ca="1" si="12"/>
        <v>1.2466961425163665E-2</v>
      </c>
      <c r="AI23" s="1">
        <f t="shared" ca="1" si="12"/>
        <v>8.3842624730024046E-3</v>
      </c>
    </row>
    <row r="24" spans="1:35">
      <c r="B24" s="1"/>
      <c r="J24" s="8" t="s">
        <v>25</v>
      </c>
      <c r="K24" s="1">
        <f t="shared" ref="K24:AI24" ca="1" si="13">wa*flt3_*(1-EXP(-za))/za</f>
        <v>1.4359647873247046E-13</v>
      </c>
      <c r="L24" s="1">
        <f t="shared" ca="1" si="13"/>
        <v>2.3422710727880929E-8</v>
      </c>
      <c r="M24" s="1">
        <f t="shared" ca="1" si="13"/>
        <v>1.8706040585832456E-4</v>
      </c>
      <c r="N24" s="1">
        <f t="shared" ca="1" si="13"/>
        <v>8.0829776586728713E-2</v>
      </c>
      <c r="O24" s="1">
        <f t="shared" ca="1" si="13"/>
        <v>3.7997984438148658</v>
      </c>
      <c r="P24" s="1">
        <f t="shared" ca="1" si="13"/>
        <v>11.378809108523354</v>
      </c>
      <c r="Q24" s="1">
        <f t="shared" ca="1" si="13"/>
        <v>14.377063269854904</v>
      </c>
      <c r="R24" s="1">
        <f t="shared" ca="1" si="13"/>
        <v>16.191743004542825</v>
      </c>
      <c r="S24" s="1">
        <f t="shared" ca="1" si="13"/>
        <v>17.433973944754545</v>
      </c>
      <c r="T24" s="1">
        <f t="shared" ca="1" si="13"/>
        <v>18.32120980598981</v>
      </c>
      <c r="U24" s="1">
        <f t="shared" ca="1" si="13"/>
        <v>18.843709179781925</v>
      </c>
      <c r="V24" s="1">
        <f t="shared" ca="1" si="13"/>
        <v>19.053755655629278</v>
      </c>
      <c r="W24" s="1">
        <f t="shared" ca="1" si="13"/>
        <v>19.015019768900324</v>
      </c>
      <c r="X24" s="1">
        <f t="shared" ca="1" si="13"/>
        <v>18.784785714109368</v>
      </c>
      <c r="Y24" s="1">
        <f t="shared" ca="1" si="13"/>
        <v>18.411374484573443</v>
      </c>
      <c r="Z24" s="1">
        <f t="shared" ca="1" si="13"/>
        <v>17.934241208178047</v>
      </c>
      <c r="AA24" s="1">
        <f t="shared" ca="1" si="13"/>
        <v>17.384872675909438</v>
      </c>
      <c r="AB24" s="1">
        <f t="shared" ca="1" si="13"/>
        <v>16.787950210267102</v>
      </c>
      <c r="AC24" s="1">
        <f t="shared" ca="1" si="13"/>
        <v>16.162530518417373</v>
      </c>
      <c r="AD24" s="1">
        <f t="shared" ca="1" si="13"/>
        <v>15.523126444013201</v>
      </c>
      <c r="AE24" s="1">
        <f t="shared" ca="1" si="13"/>
        <v>14.88064064222992</v>
      </c>
      <c r="AF24" s="1">
        <f t="shared" ca="1" si="13"/>
        <v>14.243143522710298</v>
      </c>
      <c r="AG24" s="1">
        <f t="shared" ca="1" si="13"/>
        <v>13.616505822494094</v>
      </c>
      <c r="AH24" s="1">
        <f t="shared" ca="1" si="13"/>
        <v>13.004904185403758</v>
      </c>
      <c r="AI24" s="1">
        <f t="shared" ca="1" si="13"/>
        <v>12.411220174908143</v>
      </c>
    </row>
    <row r="25" spans="1:35">
      <c r="B25" t="s">
        <v>169</v>
      </c>
      <c r="C25">
        <v>2</v>
      </c>
      <c r="J25" s="2" t="s">
        <v>29</v>
      </c>
    </row>
    <row r="26" spans="1:35">
      <c r="A26" s="13" t="s">
        <v>13</v>
      </c>
      <c r="B26" s="13"/>
      <c r="C26" s="13"/>
      <c r="J26" s="8" t="s">
        <v>30</v>
      </c>
      <c r="K26">
        <f ca="1">qa1_/wa</f>
        <v>3.7319161018140977E-9</v>
      </c>
      <c r="L26">
        <f t="shared" ref="L26:AI26" ca="1" si="14">qa1_/wa</f>
        <v>4.5462944589537079E-8</v>
      </c>
      <c r="M26">
        <f t="shared" ca="1" si="14"/>
        <v>5.5411759802902529E-7</v>
      </c>
      <c r="N26">
        <f t="shared" ca="1" si="14"/>
        <v>7.060172319157847E-6</v>
      </c>
      <c r="O26">
        <f t="shared" ca="1" si="14"/>
        <v>2.4741246600680072E-4</v>
      </c>
      <c r="P26">
        <f t="shared" ca="1" si="14"/>
        <v>5.6829485182772936E-3</v>
      </c>
      <c r="Q26">
        <f t="shared" ca="1" si="14"/>
        <v>6.7938047353226685E-2</v>
      </c>
      <c r="R26">
        <f t="shared" ca="1" si="14"/>
        <v>0.44869391059193481</v>
      </c>
      <c r="S26">
        <f t="shared" ca="1" si="14"/>
        <v>0.82685952392596984</v>
      </c>
      <c r="T26">
        <f t="shared" ca="1" si="14"/>
        <v>0.89036103173204295</v>
      </c>
      <c r="U26">
        <f t="shared" ca="1" si="14"/>
        <v>0.89772785094422647</v>
      </c>
      <c r="V26">
        <f t="shared" ca="1" si="14"/>
        <v>0.89963640351338536</v>
      </c>
      <c r="W26">
        <f t="shared" ca="1" si="14"/>
        <v>0.90079417318627886</v>
      </c>
      <c r="X26">
        <f t="shared" ca="1" si="14"/>
        <v>0.90168355610369832</v>
      </c>
      <c r="Y26">
        <f t="shared" ca="1" si="14"/>
        <v>0.90240607371420722</v>
      </c>
      <c r="Z26">
        <f t="shared" ca="1" si="14"/>
        <v>0.90301178864317844</v>
      </c>
      <c r="AA26">
        <f t="shared" ca="1" si="14"/>
        <v>0.90353307698708585</v>
      </c>
      <c r="AB26">
        <f t="shared" ca="1" si="14"/>
        <v>0.90399183035059338</v>
      </c>
      <c r="AC26">
        <f t="shared" ca="1" si="14"/>
        <v>0.90440300830359543</v>
      </c>
      <c r="AD26">
        <f t="shared" ca="1" si="14"/>
        <v>0.90477691565980534</v>
      </c>
      <c r="AE26">
        <f t="shared" ca="1" si="14"/>
        <v>0.90512072215745232</v>
      </c>
      <c r="AF26">
        <f t="shared" ca="1" si="14"/>
        <v>0.90543948205261082</v>
      </c>
      <c r="AG26">
        <f t="shared" ca="1" si="14"/>
        <v>0.90573681878824475</v>
      </c>
      <c r="AH26">
        <f t="shared" ca="1" si="14"/>
        <v>0.90601538492267086</v>
      </c>
      <c r="AI26">
        <f t="shared" ca="1" si="14"/>
        <v>0.90627717121746409</v>
      </c>
    </row>
    <row r="27" spans="1:35">
      <c r="A27" t="s">
        <v>14</v>
      </c>
      <c r="B27" s="27">
        <f ca="1">fbar*C27</f>
        <v>3.7111201507611873E-2</v>
      </c>
      <c r="C27" s="35">
        <f ca="1">CHOOSE(type,E35,E38)</f>
        <v>0.21830118533889348</v>
      </c>
      <c r="J27" s="8" t="s">
        <v>31</v>
      </c>
      <c r="K27">
        <f t="shared" ref="K27:AI27" ca="1" si="15">qa2_/wa</f>
        <v>2.3822497255550183E-26</v>
      </c>
      <c r="L27">
        <f t="shared" ca="1" si="15"/>
        <v>7.747456608137691E-18</v>
      </c>
      <c r="M27">
        <f t="shared" ca="1" si="15"/>
        <v>2.5196552993573453E-9</v>
      </c>
      <c r="N27">
        <f t="shared" ca="1" si="15"/>
        <v>0.40230920529816544</v>
      </c>
      <c r="O27">
        <f t="shared" ca="1" si="15"/>
        <v>0.58246473778276753</v>
      </c>
      <c r="P27">
        <f t="shared" ca="1" si="15"/>
        <v>0.43768613742758394</v>
      </c>
      <c r="Q27">
        <f t="shared" ca="1" si="15"/>
        <v>0.29847305303519189</v>
      </c>
      <c r="R27">
        <f t="shared" ca="1" si="15"/>
        <v>0.19990643029864125</v>
      </c>
      <c r="S27">
        <f t="shared" ca="1" si="15"/>
        <v>0.13356042436524607</v>
      </c>
      <c r="T27">
        <f t="shared" ca="1" si="15"/>
        <v>8.9687517859424401E-2</v>
      </c>
      <c r="U27">
        <f t="shared" ca="1" si="15"/>
        <v>6.0244903741016986E-2</v>
      </c>
      <c r="V27">
        <f t="shared" ca="1" si="15"/>
        <v>4.044949277584186E-2</v>
      </c>
      <c r="W27">
        <f t="shared" ca="1" si="15"/>
        <v>2.7148494843750214E-2</v>
      </c>
      <c r="X27">
        <f t="shared" ca="1" si="15"/>
        <v>1.8216525516196923E-2</v>
      </c>
      <c r="Y27">
        <f t="shared" ca="1" si="15"/>
        <v>1.2220983690271565E-2</v>
      </c>
      <c r="Z27">
        <f t="shared" ca="1" si="15"/>
        <v>8.1976718187834387E-3</v>
      </c>
      <c r="AA27">
        <f t="shared" ca="1" si="15"/>
        <v>5.4983726148774672E-3</v>
      </c>
      <c r="AB27">
        <f t="shared" ca="1" si="15"/>
        <v>3.6876325881382388E-3</v>
      </c>
      <c r="AC27">
        <f t="shared" ca="1" si="15"/>
        <v>2.4730800641281914E-3</v>
      </c>
      <c r="AD27">
        <f t="shared" ca="1" si="15"/>
        <v>1.6584819044570659E-3</v>
      </c>
      <c r="AE27">
        <f t="shared" ca="1" si="15"/>
        <v>1.1121638798093818E-3</v>
      </c>
      <c r="AF27">
        <f t="shared" ca="1" si="15"/>
        <v>7.4578692017406457E-4</v>
      </c>
      <c r="AG27">
        <f t="shared" ca="1" si="15"/>
        <v>5.0009258445961433E-4</v>
      </c>
      <c r="AH27">
        <f t="shared" ca="1" si="15"/>
        <v>3.353335637774228E-4</v>
      </c>
      <c r="AI27">
        <f t="shared" ca="1" si="15"/>
        <v>2.2485137792484564E-4</v>
      </c>
    </row>
    <row r="28" spans="1:35">
      <c r="A28" t="s">
        <v>15</v>
      </c>
      <c r="B28" s="27">
        <f ca="1">fbar*C28</f>
        <v>9.9082953330948548E-2</v>
      </c>
      <c r="C28" s="35">
        <f ca="1">CHOOSE(type,E36,E39)</f>
        <v>0.58284090194675608</v>
      </c>
      <c r="J28" s="8" t="s">
        <v>32</v>
      </c>
      <c r="K28">
        <f t="shared" ref="K28:AI28" ca="1" si="16">qa3_/wa</f>
        <v>6.8352209600228558E-13</v>
      </c>
      <c r="L28">
        <f t="shared" ca="1" si="16"/>
        <v>1.6646517866279364E-8</v>
      </c>
      <c r="M28">
        <f t="shared" ca="1" si="16"/>
        <v>4.9736228516995006E-5</v>
      </c>
      <c r="N28">
        <f t="shared" ca="1" si="16"/>
        <v>1.1619837844888939E-2</v>
      </c>
      <c r="O28">
        <f t="shared" ca="1" si="16"/>
        <v>0.35928469734073021</v>
      </c>
      <c r="P28">
        <f t="shared" ca="1" si="16"/>
        <v>0.79742307859760087</v>
      </c>
      <c r="Q28">
        <f t="shared" ca="1" si="16"/>
        <v>0.80795119399425452</v>
      </c>
      <c r="R28">
        <f t="shared" ca="1" si="16"/>
        <v>0.77069023532017</v>
      </c>
      <c r="S28">
        <f t="shared" ca="1" si="16"/>
        <v>0.73101985120968638</v>
      </c>
      <c r="T28">
        <f t="shared" ca="1" si="16"/>
        <v>0.69666177299223297</v>
      </c>
      <c r="U28">
        <f t="shared" ca="1" si="16"/>
        <v>0.6640826388249631</v>
      </c>
      <c r="V28">
        <f t="shared" ca="1" si="16"/>
        <v>0.63273333367786677</v>
      </c>
      <c r="W28">
        <f t="shared" ca="1" si="16"/>
        <v>0.60263937891278996</v>
      </c>
      <c r="X28">
        <f t="shared" ca="1" si="16"/>
        <v>0.57382680097983041</v>
      </c>
      <c r="Y28">
        <f t="shared" ca="1" si="16"/>
        <v>0.54629188097014703</v>
      </c>
      <c r="Z28">
        <f t="shared" ca="1" si="16"/>
        <v>0.52001072985565577</v>
      </c>
      <c r="AA28">
        <f t="shared" ca="1" si="16"/>
        <v>0.49494744699254395</v>
      </c>
      <c r="AB28">
        <f t="shared" ca="1" si="16"/>
        <v>0.47105940660724577</v>
      </c>
      <c r="AC28">
        <f t="shared" ca="1" si="16"/>
        <v>0.4483005924171149</v>
      </c>
      <c r="AD28">
        <f t="shared" ca="1" si="16"/>
        <v>0.42662368592356303</v>
      </c>
      <c r="AE28">
        <f t="shared" ca="1" si="16"/>
        <v>0.40598136201662499</v>
      </c>
      <c r="AF28">
        <f t="shared" ca="1" si="16"/>
        <v>0.3863270803697077</v>
      </c>
      <c r="AG28">
        <f t="shared" ca="1" si="16"/>
        <v>0.3676155563805068</v>
      </c>
      <c r="AH28">
        <f t="shared" ca="1" si="16"/>
        <v>0.3498030288497595</v>
      </c>
      <c r="AI28">
        <f t="shared" ca="1" si="16"/>
        <v>0.3328473991651405</v>
      </c>
    </row>
    <row r="29" spans="1:35">
      <c r="A29" t="s">
        <v>19</v>
      </c>
      <c r="B29" s="27">
        <f ca="1">fbar*C29</f>
        <v>3.3805845161439599E-2</v>
      </c>
      <c r="C29" s="35">
        <f ca="1">CHOOSE(type,E37,E40)</f>
        <v>0.19885791271435052</v>
      </c>
    </row>
    <row r="30" spans="1:35">
      <c r="A30" t="s">
        <v>94</v>
      </c>
      <c r="B30" s="27">
        <v>0.17</v>
      </c>
      <c r="C30" s="35"/>
      <c r="G30" t="s">
        <v>58</v>
      </c>
      <c r="H30" t="s">
        <v>59</v>
      </c>
      <c r="J30" s="2" t="s">
        <v>51</v>
      </c>
    </row>
    <row r="31" spans="1:35">
      <c r="G31">
        <f ca="1">SUMPRODUCT(dlz1_,wa,ma)</f>
        <v>-153.71242113058267</v>
      </c>
      <c r="H31">
        <f ca="1">Ro/(reck-1)*phie/phif^2*dphif</f>
        <v>-3.1986137285007266E-2</v>
      </c>
      <c r="J31" s="8" t="s">
        <v>52</v>
      </c>
      <c r="K31">
        <v>0</v>
      </c>
      <c r="L31">
        <f ca="1">K31*sa-K$7*K18*K$10</f>
        <v>-3.4590171140059241E-9</v>
      </c>
      <c r="M31">
        <f t="shared" ref="L31:AH31" ca="1" si="17">L31*sa-L$7*L18*L$10</f>
        <v>-3.9246085074237802E-8</v>
      </c>
      <c r="N31">
        <f t="shared" ca="1" si="17"/>
        <v>-4.1279782615109452E-7</v>
      </c>
      <c r="O31">
        <f t="shared" ca="1" si="17"/>
        <v>-4.4071732329788755E-6</v>
      </c>
      <c r="P31">
        <f t="shared" ca="1" si="17"/>
        <v>-1.1915043080050029E-4</v>
      </c>
      <c r="Q31">
        <f t="shared" ca="1" si="17"/>
        <v>-2.209603635209357E-3</v>
      </c>
      <c r="R31">
        <f t="shared" ca="1" si="17"/>
        <v>-2.2006048827029424E-2</v>
      </c>
      <c r="S31">
        <f t="shared" ca="1" si="17"/>
        <v>-0.12500127166777658</v>
      </c>
      <c r="T31">
        <f t="shared" ca="1" si="17"/>
        <v>-0.25840703011317445</v>
      </c>
      <c r="U31">
        <f t="shared" ca="1" si="17"/>
        <v>-0.34386149673979893</v>
      </c>
      <c r="V31">
        <f t="shared" ca="1" si="17"/>
        <v>-0.38737957599153805</v>
      </c>
      <c r="W31">
        <f t="shared" ca="1" si="17"/>
        <v>-0.40199497368290971</v>
      </c>
      <c r="X31">
        <f t="shared" ca="1" si="17"/>
        <v>-0.39746735098321867</v>
      </c>
      <c r="Y31">
        <f t="shared" ca="1" si="17"/>
        <v>-0.38070923116863842</v>
      </c>
      <c r="Z31">
        <f t="shared" ca="1" si="17"/>
        <v>-0.35658627973540957</v>
      </c>
      <c r="AA31">
        <f t="shared" ca="1" si="17"/>
        <v>-0.32849840227882615</v>
      </c>
      <c r="AB31">
        <f t="shared" ca="1" si="17"/>
        <v>-0.29878995158920429</v>
      </c>
      <c r="AC31">
        <f t="shared" ca="1" si="17"/>
        <v>-0.26904370697261643</v>
      </c>
      <c r="AD31">
        <f t="shared" ca="1" si="17"/>
        <v>-0.24029421779998461</v>
      </c>
      <c r="AE31">
        <f t="shared" ca="1" si="17"/>
        <v>-0.21318375870675702</v>
      </c>
      <c r="AF31">
        <f t="shared" ca="1" si="17"/>
        <v>-0.18807667737419734</v>
      </c>
      <c r="AG31">
        <f t="shared" ca="1" si="17"/>
        <v>-0.16514321402171198</v>
      </c>
      <c r="AH31">
        <f t="shared" ca="1" si="17"/>
        <v>-0.14442076605852353</v>
      </c>
      <c r="AI31">
        <f ca="1">(AH31*sa-AH$7*AH18*AH$10)/oa-AH$7*AH$10*flt1_*sa/oa^2</f>
        <v>-0.88506702393398062</v>
      </c>
    </row>
    <row r="32" spans="1:35">
      <c r="A32" s="11" t="s">
        <v>22</v>
      </c>
      <c r="B32" s="11"/>
      <c r="C32" s="11"/>
      <c r="G32">
        <f ca="1">SUMPRODUCT(dlz2_,wa,ma)</f>
        <v>-52.526580217936335</v>
      </c>
      <c r="H32">
        <f ca="1">Ro/(reck-1)*phie/phif^2*dphif</f>
        <v>-1.0930296937653147E-2</v>
      </c>
      <c r="J32" s="8" t="s">
        <v>53</v>
      </c>
      <c r="K32">
        <v>0</v>
      </c>
      <c r="L32">
        <f ca="1">K32*sa-K$7*K19*K$10</f>
        <v>-2.2080460400824959E-26</v>
      </c>
      <c r="M32">
        <f t="shared" ref="L32:AH32" ca="1" si="18">L32*sa-L$7*L19*L$10</f>
        <v>-6.1806737546173021E-18</v>
      </c>
      <c r="N32">
        <f t="shared" ca="1" si="18"/>
        <v>-1.7301080147959212E-9</v>
      </c>
      <c r="O32">
        <f t="shared" ca="1" si="18"/>
        <v>-0.23240943195571104</v>
      </c>
      <c r="P32">
        <f t="shared" ca="1" si="18"/>
        <v>-0.45711160371020321</v>
      </c>
      <c r="Q32">
        <f t="shared" ca="1" si="18"/>
        <v>-0.53107442102953339</v>
      </c>
      <c r="R32">
        <f t="shared" ca="1" si="18"/>
        <v>-0.51524164104705228</v>
      </c>
      <c r="S32">
        <f t="shared" ca="1" si="18"/>
        <v>-0.45860394255979664</v>
      </c>
      <c r="T32">
        <f t="shared" ca="1" si="18"/>
        <v>-0.39250140341750456</v>
      </c>
      <c r="U32">
        <f t="shared" ca="1" si="18"/>
        <v>-0.32911111032887441</v>
      </c>
      <c r="V32">
        <f t="shared" ca="1" si="18"/>
        <v>-0.27274228211062684</v>
      </c>
      <c r="W32">
        <f t="shared" ca="1" si="18"/>
        <v>-0.22447604698194995</v>
      </c>
      <c r="X32">
        <f t="shared" ca="1" si="18"/>
        <v>-0.18400757080580032</v>
      </c>
      <c r="Y32">
        <f t="shared" ca="1" si="18"/>
        <v>-0.15049090461439463</v>
      </c>
      <c r="Z32">
        <f t="shared" ca="1" si="18"/>
        <v>-0.12293343138939747</v>
      </c>
      <c r="AA32">
        <f t="shared" ca="1" si="18"/>
        <v>-0.10037283987482316</v>
      </c>
      <c r="AB32">
        <f t="shared" ca="1" si="18"/>
        <v>-8.1948244528182029E-2</v>
      </c>
      <c r="AC32">
        <f t="shared" ca="1" si="18"/>
        <v>-6.6920658646130837E-2</v>
      </c>
      <c r="AD32">
        <f t="shared" ca="1" si="18"/>
        <v>-5.4670339094942066E-2</v>
      </c>
      <c r="AE32">
        <f t="shared" ca="1" si="18"/>
        <v>-4.4684639509646358E-2</v>
      </c>
      <c r="AF32">
        <f t="shared" ca="1" si="18"/>
        <v>-3.6542985021522735E-2</v>
      </c>
      <c r="AG32">
        <f t="shared" ca="1" si="18"/>
        <v>-2.9902026787686317E-2</v>
      </c>
      <c r="AH32">
        <f t="shared" ca="1" si="18"/>
        <v>-2.4482252874607851E-2</v>
      </c>
      <c r="AI32">
        <f ca="1">(AH32*sa-AH$7*AH19*AH$10)/oa-AH$7*AH$10*flt2_*sa/oa^2</f>
        <v>-0.11092359080959403</v>
      </c>
    </row>
    <row r="33" spans="1:35">
      <c r="A33" t="s">
        <v>28</v>
      </c>
      <c r="B33" s="1">
        <f>SUMPRODUCT(lx,wa,ma)</f>
        <v>47.823341581284872</v>
      </c>
      <c r="G33">
        <f ca="1">SUMPRODUCT(dlz3_,wa,ma)</f>
        <v>-157.77783407959203</v>
      </c>
      <c r="H33">
        <f ca="1">Ro/(reck-1)*phie/phif^2*dphif</f>
        <v>-3.2832112228026282E-2</v>
      </c>
      <c r="J33" s="8" t="s">
        <v>54</v>
      </c>
      <c r="K33">
        <v>0</v>
      </c>
      <c r="L33">
        <f ca="1">K33*sa-K$7*K20*K$10</f>
        <v>-6.3353906233953222E-13</v>
      </c>
      <c r="M33">
        <f t="shared" ref="L33:AH33" ca="1" si="19">L33*sa-L$7*L20*L$10</f>
        <v>-1.3280606215563941E-8</v>
      </c>
      <c r="N33">
        <f t="shared" ca="1" si="19"/>
        <v>-3.4162054227001899E-5</v>
      </c>
      <c r="O33">
        <f t="shared" ca="1" si="19"/>
        <v>-6.7398409724521045E-3</v>
      </c>
      <c r="P33">
        <f t="shared" ca="1" si="19"/>
        <v>-0.17329689369845783</v>
      </c>
      <c r="Q33">
        <f t="shared" ca="1" si="19"/>
        <v>-0.43620149923853668</v>
      </c>
      <c r="R33">
        <f t="shared" ca="1" si="19"/>
        <v>-0.59080007899357623</v>
      </c>
      <c r="S33">
        <f t="shared" ca="1" si="19"/>
        <v>-0.65553446992149023</v>
      </c>
      <c r="T33">
        <f t="shared" ca="1" si="19"/>
        <v>-0.66451202620936944</v>
      </c>
      <c r="U33">
        <f t="shared" ca="1" si="19"/>
        <v>-0.64054644953748718</v>
      </c>
      <c r="V33">
        <f t="shared" ca="1" si="19"/>
        <v>-0.59792254028245306</v>
      </c>
      <c r="W33">
        <f t="shared" ca="1" si="19"/>
        <v>-0.54583777380028686</v>
      </c>
      <c r="X33">
        <f t="shared" ca="1" si="19"/>
        <v>-0.49021933868097456</v>
      </c>
      <c r="Y33">
        <f t="shared" ca="1" si="19"/>
        <v>-0.4348200415032854</v>
      </c>
      <c r="Z33">
        <f t="shared" ca="1" si="19"/>
        <v>-0.38192868982755268</v>
      </c>
      <c r="AA33">
        <f t="shared" ca="1" si="19"/>
        <v>-0.33284720793522465</v>
      </c>
      <c r="AB33">
        <f t="shared" ca="1" si="19"/>
        <v>-0.2882175178880827</v>
      </c>
      <c r="AC33">
        <f t="shared" ca="1" si="19"/>
        <v>-0.24824770867581542</v>
      </c>
      <c r="AD33">
        <f t="shared" ca="1" si="19"/>
        <v>-0.21286887258338605</v>
      </c>
      <c r="AE33">
        <f t="shared" ca="1" si="19"/>
        <v>-0.18184343326522029</v>
      </c>
      <c r="AF33">
        <f t="shared" ca="1" si="19"/>
        <v>-0.15483925705271168</v>
      </c>
      <c r="AG33">
        <f t="shared" ca="1" si="19"/>
        <v>-0.1314795754038835</v>
      </c>
      <c r="AH33">
        <f t="shared" ca="1" si="19"/>
        <v>-0.11137584738722431</v>
      </c>
      <c r="AI33">
        <f ca="1">(AH33*sa-AH$7*AH20*AH$10)/oa-AH$7*AH$10*flt3_*sa/oa^2</f>
        <v>-0.58999653063171564</v>
      </c>
    </row>
    <row r="34" spans="1:35">
      <c r="A34" t="s">
        <v>27</v>
      </c>
      <c r="B34" s="1">
        <f ca="1">SUMPRODUCT(lz,wa,ma)</f>
        <v>20.901489706336427</v>
      </c>
      <c r="G34" t="s">
        <v>57</v>
      </c>
      <c r="J34" s="8"/>
    </row>
    <row r="35" spans="1:35">
      <c r="A35" t="s">
        <v>33</v>
      </c>
      <c r="B35" s="1">
        <f ca="1">SUMPRODUCT(lz,ta1_)</f>
        <v>1.1267964287685961</v>
      </c>
      <c r="C35" s="127">
        <f ca="1">B11/(B35/SUM($B$35:$B$37))</f>
        <v>1.1144098783722955</v>
      </c>
      <c r="E35" s="16">
        <f ca="1">C35/SUM($C$35:$C$37)</f>
        <v>0.35158904151084569</v>
      </c>
      <c r="G35" s="1">
        <f ca="1">SUM(dqa11_)</f>
        <v>500.66656345211669</v>
      </c>
      <c r="H35" s="1">
        <f ca="1">SUM(dqa12_)</f>
        <v>514.23048778311147</v>
      </c>
      <c r="I35" s="10">
        <f ca="1">SUM(dqa13_)</f>
        <v>504.75503352691919</v>
      </c>
      <c r="J35" s="8" t="s">
        <v>62</v>
      </c>
      <c r="K35">
        <f ca="1">flt1_*qa1_+lz*wa*flt1_^2/za*(sa-oa/za)</f>
        <v>1.6147670776244824E-18</v>
      </c>
      <c r="L35">
        <f t="shared" ref="L35:AI35" ca="1" si="20">flt1_*qa1_+lz*wa*flt1_^2/za*(sa-oa/za)</f>
        <v>1.8176987647924867E-15</v>
      </c>
      <c r="M35">
        <f t="shared" ca="1" si="20"/>
        <v>7.9446667486689505E-13</v>
      </c>
      <c r="N35">
        <f t="shared" ca="1" si="20"/>
        <v>2.6381753363849613E-10</v>
      </c>
      <c r="O35">
        <f t="shared" ca="1" si="20"/>
        <v>5.4118967965145679E-7</v>
      </c>
      <c r="P35">
        <f t="shared" ca="1" si="20"/>
        <v>4.1196716928071332E-4</v>
      </c>
      <c r="Q35">
        <f t="shared" ca="1" si="20"/>
        <v>7.6690781920439544E-2</v>
      </c>
      <c r="R35">
        <f t="shared" ca="1" si="20"/>
        <v>4.1033949812400188</v>
      </c>
      <c r="S35">
        <f t="shared" ca="1" si="20"/>
        <v>16.338192572402427</v>
      </c>
      <c r="T35">
        <f t="shared" ca="1" si="20"/>
        <v>21.340164879481264</v>
      </c>
      <c r="U35">
        <f t="shared" ca="1" si="20"/>
        <v>23.778257111068584</v>
      </c>
      <c r="V35">
        <f t="shared" ca="1" si="20"/>
        <v>25.651373521553833</v>
      </c>
      <c r="W35">
        <f t="shared" ca="1" si="20"/>
        <v>27.20462661479916</v>
      </c>
      <c r="X35">
        <f t="shared" ca="1" si="20"/>
        <v>28.493934401274046</v>
      </c>
      <c r="Y35">
        <f t="shared" ca="1" si="20"/>
        <v>29.557843566244301</v>
      </c>
      <c r="Z35">
        <f t="shared" ca="1" si="20"/>
        <v>30.431207970647307</v>
      </c>
      <c r="AA35">
        <f t="shared" ca="1" si="20"/>
        <v>31.145305007391343</v>
      </c>
      <c r="AB35">
        <f t="shared" ca="1" si="20"/>
        <v>31.72746060739324</v>
      </c>
      <c r="AC35">
        <f t="shared" ca="1" si="20"/>
        <v>32.201054630938721</v>
      </c>
      <c r="AD35">
        <f t="shared" ca="1" si="20"/>
        <v>32.585786489597481</v>
      </c>
      <c r="AE35">
        <f t="shared" ca="1" si="20"/>
        <v>32.898067103814995</v>
      </c>
      <c r="AF35">
        <f t="shared" ca="1" si="20"/>
        <v>33.15145172343869</v>
      </c>
      <c r="AG35">
        <f t="shared" ca="1" si="20"/>
        <v>33.357064602523572</v>
      </c>
      <c r="AH35">
        <f t="shared" ca="1" si="20"/>
        <v>33.523989988311307</v>
      </c>
      <c r="AI35">
        <f t="shared" ca="1" si="20"/>
        <v>33.100284389452405</v>
      </c>
    </row>
    <row r="36" spans="1:35">
      <c r="A36" t="s">
        <v>34</v>
      </c>
      <c r="B36" s="1">
        <f ca="1">SUMPRODUCT(lz,ta2_)</f>
        <v>0.96011778283653892</v>
      </c>
      <c r="C36" s="127">
        <f t="shared" ref="C36:C37" ca="1" si="21">B12/(B36/SUM($B$35:$B$37))</f>
        <v>1.3078739854442782</v>
      </c>
      <c r="E36" s="16">
        <f t="shared" ref="E36:E37" ca="1" si="22">C36/SUM($C$35:$C$37)</f>
        <v>0.41262570431532447</v>
      </c>
      <c r="G36" s="1">
        <f ca="1">SUM(dqa21_)</f>
        <v>514.23048778311147</v>
      </c>
      <c r="H36" s="1">
        <f ca="1">SUM(dqa22_)</f>
        <v>9.4426494565357633</v>
      </c>
      <c r="I36" s="10">
        <f ca="1">SUM(dqa23_)</f>
        <v>511.74498896383773</v>
      </c>
      <c r="J36" s="8" t="s">
        <v>63</v>
      </c>
      <c r="K36">
        <f t="shared" ref="K36:AI36" ca="1" si="23">flt2_*qa2_+lz*wa*flt2_^2/za*(sa-oa/za)</f>
        <v>6.579921525300044E-53</v>
      </c>
      <c r="L36">
        <f t="shared" ca="1" si="23"/>
        <v>5.2786770776441352E-35</v>
      </c>
      <c r="M36">
        <f t="shared" ca="1" si="23"/>
        <v>1.6426841300607262E-17</v>
      </c>
      <c r="N36">
        <f t="shared" ca="1" si="23"/>
        <v>0.85662943521817292</v>
      </c>
      <c r="O36">
        <f t="shared" ca="1" si="23"/>
        <v>2.9994776278985693</v>
      </c>
      <c r="P36">
        <f t="shared" ca="1" si="23"/>
        <v>2.4436598152766855</v>
      </c>
      <c r="Q36">
        <f t="shared" ca="1" si="23"/>
        <v>1.4802235206027161</v>
      </c>
      <c r="R36">
        <f t="shared" ca="1" si="23"/>
        <v>0.81451014874572536</v>
      </c>
      <c r="S36">
        <f t="shared" ca="1" si="23"/>
        <v>0.42628114642550391</v>
      </c>
      <c r="T36">
        <f t="shared" ca="1" si="23"/>
        <v>0.21653569202635409</v>
      </c>
      <c r="U36">
        <f t="shared" ca="1" si="23"/>
        <v>0.10708564345016129</v>
      </c>
      <c r="V36">
        <f t="shared" ca="1" si="23"/>
        <v>5.1856445338579242E-2</v>
      </c>
      <c r="W36">
        <f t="shared" ca="1" si="23"/>
        <v>2.4710591782233546E-2</v>
      </c>
      <c r="X36">
        <f t="shared" ca="1" si="23"/>
        <v>1.1629879472748132E-2</v>
      </c>
      <c r="Y36">
        <f t="shared" ca="1" si="23"/>
        <v>5.4210205789067554E-3</v>
      </c>
      <c r="Z36">
        <f t="shared" ca="1" si="23"/>
        <v>2.5079184367878759E-3</v>
      </c>
      <c r="AA36">
        <f t="shared" ca="1" si="23"/>
        <v>1.1533810505863441E-3</v>
      </c>
      <c r="AB36">
        <f t="shared" ca="1" si="23"/>
        <v>5.2796069363725197E-4</v>
      </c>
      <c r="AC36">
        <f t="shared" ca="1" si="23"/>
        <v>2.4078113220625487E-4</v>
      </c>
      <c r="AD36">
        <f t="shared" ca="1" si="23"/>
        <v>1.0948803441805163E-4</v>
      </c>
      <c r="AE36">
        <f t="shared" ca="1" si="23"/>
        <v>4.9670089065315551E-5</v>
      </c>
      <c r="AF36">
        <f t="shared" ca="1" si="23"/>
        <v>2.2491230658929791E-5</v>
      </c>
      <c r="AG36">
        <f t="shared" ca="1" si="23"/>
        <v>1.0169148996964322E-5</v>
      </c>
      <c r="AH36">
        <f t="shared" ca="1" si="23"/>
        <v>4.5923883475257081E-6</v>
      </c>
      <c r="AI36">
        <f t="shared" ca="1" si="23"/>
        <v>2.0375147012721151E-6</v>
      </c>
    </row>
    <row r="37" spans="1:35">
      <c r="A37" t="s">
        <v>35</v>
      </c>
      <c r="B37" s="1">
        <f ca="1">SUMPRODUCT(lz,ta3_)</f>
        <v>1.6802626735667616</v>
      </c>
      <c r="C37" s="127">
        <f t="shared" ca="1" si="21"/>
        <v>0.74735382905195835</v>
      </c>
      <c r="E37" s="16">
        <f t="shared" ca="1" si="22"/>
        <v>0.23578525417382981</v>
      </c>
      <c r="G37" s="1">
        <f ca="1">SUM(dqa31_)</f>
        <v>504.75503352691919</v>
      </c>
      <c r="H37" s="1">
        <f ca="1">SUM(dqa32_)</f>
        <v>511.74498896383773</v>
      </c>
      <c r="I37" s="1">
        <f ca="1">SUM(dqa33_)</f>
        <v>189.11018951487728</v>
      </c>
      <c r="J37" s="8" t="s">
        <v>64</v>
      </c>
      <c r="K37">
        <f t="shared" ref="K37:AI37" ca="1" si="24">flt3_*qa3_+lz*wa*flt3_^2/za*(sa-oa/za)</f>
        <v>5.4169055068351862E-26</v>
      </c>
      <c r="L37">
        <f t="shared" ca="1" si="24"/>
        <v>2.4369891314517551E-16</v>
      </c>
      <c r="M37">
        <f t="shared" ca="1" si="24"/>
        <v>6.4005530030473544E-9</v>
      </c>
      <c r="N37">
        <f t="shared" ca="1" si="24"/>
        <v>7.1461674548256983E-4</v>
      </c>
      <c r="O37">
        <f t="shared" ca="1" si="24"/>
        <v>1.141257883033723</v>
      </c>
      <c r="P37">
        <f t="shared" ca="1" si="24"/>
        <v>8.1113429714443086</v>
      </c>
      <c r="Q37">
        <f t="shared" ca="1" si="24"/>
        <v>10.846442021458135</v>
      </c>
      <c r="R37">
        <f t="shared" ca="1" si="24"/>
        <v>12.106056173333618</v>
      </c>
      <c r="S37">
        <f t="shared" ca="1" si="24"/>
        <v>12.77023489501309</v>
      </c>
      <c r="T37">
        <f t="shared" ca="1" si="24"/>
        <v>13.065000897348828</v>
      </c>
      <c r="U37">
        <f t="shared" ca="1" si="24"/>
        <v>13.011724945039983</v>
      </c>
      <c r="V37">
        <f t="shared" ca="1" si="24"/>
        <v>12.688725797646731</v>
      </c>
      <c r="W37">
        <f t="shared" ca="1" si="24"/>
        <v>12.176056276495482</v>
      </c>
      <c r="X37">
        <f t="shared" ca="1" si="24"/>
        <v>11.539999176091166</v>
      </c>
      <c r="Y37">
        <f t="shared" ca="1" si="24"/>
        <v>10.832238635536978</v>
      </c>
      <c r="Z37">
        <f t="shared" ca="1" si="24"/>
        <v>10.091528753254353</v>
      </c>
      <c r="AA37">
        <f t="shared" ca="1" si="24"/>
        <v>9.3459327801260041</v>
      </c>
      <c r="AB37">
        <f t="shared" ca="1" si="24"/>
        <v>8.6150472478381808</v>
      </c>
      <c r="AC37">
        <f t="shared" ca="1" si="24"/>
        <v>7.9119716915937239</v>
      </c>
      <c r="AD37">
        <f t="shared" ca="1" si="24"/>
        <v>7.2449453136672517</v>
      </c>
      <c r="AE37">
        <f t="shared" ca="1" si="24"/>
        <v>6.6186521788967987</v>
      </c>
      <c r="AF37">
        <f t="shared" ca="1" si="24"/>
        <v>6.0352324077181878</v>
      </c>
      <c r="AG37">
        <f t="shared" ca="1" si="24"/>
        <v>5.495048670742043</v>
      </c>
      <c r="AH37">
        <f t="shared" ca="1" si="24"/>
        <v>4.9972570414749322</v>
      </c>
      <c r="AI37">
        <f t="shared" ca="1" si="24"/>
        <v>4.4647791339777481</v>
      </c>
    </row>
    <row r="38" spans="1:35">
      <c r="A38" s="1" t="s">
        <v>36</v>
      </c>
      <c r="B38" s="1">
        <f ca="1">SUMPRODUCT(lz,qa1_)</f>
        <v>32.439661558701793</v>
      </c>
      <c r="C38">
        <f ca="1">B4/(B38/SUM($B$38:$B$40))</f>
        <v>0.82410989774513599</v>
      </c>
      <c r="E38" s="20">
        <f ca="1">C38/SUM($C$38:$C$40)</f>
        <v>0.21830118533889337</v>
      </c>
      <c r="G38" t="s">
        <v>69</v>
      </c>
      <c r="J38" s="8" t="s">
        <v>60</v>
      </c>
      <c r="K38">
        <f t="shared" ref="K38:AI38" ca="1" si="25">flt1_*qa1_+lz*wa*flt2_*flt1_/za*(sa-oa/za)</f>
        <v>3.150793832241469E-18</v>
      </c>
      <c r="L38">
        <f t="shared" ca="1" si="25"/>
        <v>3.1317990478935354E-15</v>
      </c>
      <c r="M38">
        <f t="shared" ca="1" si="25"/>
        <v>1.2415508673096944E-12</v>
      </c>
      <c r="N38">
        <f t="shared" ca="1" si="25"/>
        <v>-6.7062349109683518E-6</v>
      </c>
      <c r="O38">
        <f t="shared" ca="1" si="25"/>
        <v>-4.2975067496258106E-4</v>
      </c>
      <c r="P38">
        <f t="shared" ca="1" si="25"/>
        <v>-7.466238486841234E-3</v>
      </c>
      <c r="Q38">
        <f t="shared" ca="1" si="25"/>
        <v>2.7037090781395837E-2</v>
      </c>
      <c r="R38">
        <f t="shared" ca="1" si="25"/>
        <v>4.4404155486364605</v>
      </c>
      <c r="S38">
        <f t="shared" ca="1" si="25"/>
        <v>17.918890836291101</v>
      </c>
      <c r="T38">
        <f t="shared" ca="1" si="25"/>
        <v>23.066149725655862</v>
      </c>
      <c r="U38">
        <f t="shared" ca="1" si="25"/>
        <v>25.347524669490884</v>
      </c>
      <c r="V38">
        <f t="shared" ca="1" si="25"/>
        <v>27.025720878665865</v>
      </c>
      <c r="W38">
        <f t="shared" ca="1" si="25"/>
        <v>28.385782826153324</v>
      </c>
      <c r="X38">
        <f t="shared" ca="1" si="25"/>
        <v>29.496045031092205</v>
      </c>
      <c r="Y38">
        <f t="shared" ca="1" si="25"/>
        <v>30.400180431188158</v>
      </c>
      <c r="Z38">
        <f t="shared" ca="1" si="25"/>
        <v>31.134464821846759</v>
      </c>
      <c r="AA38">
        <f t="shared" ca="1" si="25"/>
        <v>31.729548285116998</v>
      </c>
      <c r="AB38">
        <f t="shared" ca="1" si="25"/>
        <v>32.211084603543888</v>
      </c>
      <c r="AC38">
        <f t="shared" ca="1" si="25"/>
        <v>32.600344701598623</v>
      </c>
      <c r="AD38">
        <f t="shared" ca="1" si="25"/>
        <v>32.914833989757014</v>
      </c>
      <c r="AE38">
        <f t="shared" ca="1" si="25"/>
        <v>33.168874542978557</v>
      </c>
      <c r="AF38">
        <f t="shared" ca="1" si="25"/>
        <v>33.374129709684695</v>
      </c>
      <c r="AG38">
        <f t="shared" ca="1" si="25"/>
        <v>33.540062766195064</v>
      </c>
      <c r="AH38">
        <f t="shared" ca="1" si="25"/>
        <v>33.674329525217466</v>
      </c>
      <c r="AI38">
        <f t="shared" ca="1" si="25"/>
        <v>33.782970494612691</v>
      </c>
    </row>
    <row r="39" spans="1:35">
      <c r="A39" s="1" t="s">
        <v>37</v>
      </c>
      <c r="B39" s="1">
        <f ca="1">SUMPRODUCT(lz,qa2_)</f>
        <v>12.150170907024057</v>
      </c>
      <c r="C39">
        <f t="shared" ref="C39:C40" ca="1" si="26">B5/(B39/SUM($B$38:$B$40))</f>
        <v>2.2002856070587145</v>
      </c>
      <c r="E39" s="20">
        <f t="shared" ref="E39:E40" ca="1" si="27">C39/SUM($C$38:$C$40)</f>
        <v>0.58284090194675608</v>
      </c>
      <c r="G39" s="1">
        <f ca="1">re*phi_q1+f1_*phi_q1*$H31+f1_*re*G35</f>
        <v>0.90341471467698264</v>
      </c>
      <c r="H39" s="1">
        <f ca="1">re*phi_q1+f1_*phi_q1*$H32+f1_*re*H35</f>
        <v>0.93805650187734835</v>
      </c>
      <c r="I39" s="1">
        <f ca="1">re*phi_q1+f1_*phi_q1*$H33+f1_*re*I35</f>
        <v>0.90519744238239441</v>
      </c>
      <c r="J39" s="8" t="s">
        <v>66</v>
      </c>
      <c r="K39">
        <f t="shared" ref="K39:AI39" ca="1" si="28">flt1_*qa1_+lz*wa*flt3_*flt1_/za*(sa-oa/za)</f>
        <v>3.1505125000254739E-18</v>
      </c>
      <c r="L39">
        <f t="shared" ca="1" si="28"/>
        <v>2.65063369374035E-15</v>
      </c>
      <c r="M39">
        <f t="shared" ca="1" si="28"/>
        <v>-3.9068887843868915E-11</v>
      </c>
      <c r="N39">
        <f t="shared" ca="1" si="28"/>
        <v>-1.9332470700953326E-7</v>
      </c>
      <c r="O39">
        <f t="shared" ca="1" si="28"/>
        <v>-2.648078751232158E-4</v>
      </c>
      <c r="P39">
        <f t="shared" ca="1" si="28"/>
        <v>-1.4026564145077554E-2</v>
      </c>
      <c r="Q39">
        <f t="shared" ca="1" si="28"/>
        <v>-8.2696657368655738E-2</v>
      </c>
      <c r="R39">
        <f t="shared" ca="1" si="28"/>
        <v>3.6672018740485068</v>
      </c>
      <c r="S39">
        <f t="shared" ca="1" si="28"/>
        <v>16.5567037523106</v>
      </c>
      <c r="T39">
        <f t="shared" ca="1" si="28"/>
        <v>21.757715828160897</v>
      </c>
      <c r="U39">
        <f t="shared" ca="1" si="28"/>
        <v>24.216059280992042</v>
      </c>
      <c r="V39">
        <f t="shared" ca="1" si="28"/>
        <v>26.078309179033358</v>
      </c>
      <c r="W39">
        <f t="shared" ca="1" si="28"/>
        <v>27.607727546826069</v>
      </c>
      <c r="X39">
        <f t="shared" ca="1" si="28"/>
        <v>28.865820083469604</v>
      </c>
      <c r="Y39">
        <f t="shared" ca="1" si="28"/>
        <v>29.894816310496825</v>
      </c>
      <c r="Z39">
        <f t="shared" ca="1" si="28"/>
        <v>30.732218106210276</v>
      </c>
      <c r="AA39">
        <f t="shared" ca="1" si="28"/>
        <v>31.411122582744948</v>
      </c>
      <c r="AB39">
        <f t="shared" ca="1" si="28"/>
        <v>31.960022567399992</v>
      </c>
      <c r="AC39">
        <f t="shared" ca="1" si="28"/>
        <v>32.402974048584554</v>
      </c>
      <c r="AD39">
        <f t="shared" ca="1" si="28"/>
        <v>32.759999659274122</v>
      </c>
      <c r="AE39">
        <f t="shared" ca="1" si="28"/>
        <v>33.047590745674107</v>
      </c>
      <c r="AF39">
        <f t="shared" ca="1" si="28"/>
        <v>33.27922414504836</v>
      </c>
      <c r="AG39">
        <f t="shared" ca="1" si="28"/>
        <v>33.465848526112453</v>
      </c>
      <c r="AH39">
        <f t="shared" ca="1" si="28"/>
        <v>33.616319181063226</v>
      </c>
      <c r="AI39">
        <f t="shared" ca="1" si="28"/>
        <v>33.532348332221936</v>
      </c>
    </row>
    <row r="40" spans="1:35">
      <c r="A40" s="1" t="s">
        <v>38</v>
      </c>
      <c r="B40" s="1">
        <f ca="1">SUMPRODUCT(lz,qa3_)</f>
        <v>35.612508067765155</v>
      </c>
      <c r="C40">
        <f t="shared" ca="1" si="26"/>
        <v>0.75070950191325869</v>
      </c>
      <c r="E40" s="20">
        <f t="shared" ca="1" si="27"/>
        <v>0.19885791271435058</v>
      </c>
      <c r="G40" s="1">
        <f ca="1">re*phi_q1+f1_*phi_q1*$H32+f1_*re*G36</f>
        <v>0.93805650187734835</v>
      </c>
      <c r="H40" s="1">
        <f ca="1">re*phi_q2+f2_*phi_q2*$H32+f2_*re*H36</f>
        <v>0.22842853514251701</v>
      </c>
      <c r="I40" s="1">
        <f ca="1">re*phi_q3+f3_*phi_q3*$H33+f3_*re*I36</f>
        <v>0.93733371709578517</v>
      </c>
      <c r="J40" s="8" t="s">
        <v>65</v>
      </c>
      <c r="K40">
        <f t="shared" ref="K40:AI40" ca="1" si="29">flt1_*qa1_+lz*wa*flt1_*flt2_/za*(sa-oa/za)</f>
        <v>3.150793832241469E-18</v>
      </c>
      <c r="L40">
        <f t="shared" ca="1" si="29"/>
        <v>3.1317990478935354E-15</v>
      </c>
      <c r="M40">
        <f t="shared" ca="1" si="29"/>
        <v>1.2415508673096944E-12</v>
      </c>
      <c r="N40">
        <f t="shared" ca="1" si="29"/>
        <v>-6.7062349109683535E-6</v>
      </c>
      <c r="O40">
        <f t="shared" ca="1" si="29"/>
        <v>-4.2975067496258106E-4</v>
      </c>
      <c r="P40">
        <f t="shared" ca="1" si="29"/>
        <v>-7.466238486841234E-3</v>
      </c>
      <c r="Q40">
        <f t="shared" ca="1" si="29"/>
        <v>2.7037090781395837E-2</v>
      </c>
      <c r="R40">
        <f t="shared" ca="1" si="29"/>
        <v>4.4404155486364605</v>
      </c>
      <c r="S40">
        <f t="shared" ca="1" si="29"/>
        <v>17.918890836291101</v>
      </c>
      <c r="T40">
        <f t="shared" ca="1" si="29"/>
        <v>23.066149725655862</v>
      </c>
      <c r="U40">
        <f t="shared" ca="1" si="29"/>
        <v>25.347524669490884</v>
      </c>
      <c r="V40">
        <f t="shared" ca="1" si="29"/>
        <v>27.025720878665865</v>
      </c>
      <c r="W40">
        <f t="shared" ca="1" si="29"/>
        <v>28.385782826153324</v>
      </c>
      <c r="X40">
        <f t="shared" ca="1" si="29"/>
        <v>29.496045031092205</v>
      </c>
      <c r="Y40">
        <f t="shared" ca="1" si="29"/>
        <v>30.400180431188158</v>
      </c>
      <c r="Z40">
        <f t="shared" ca="1" si="29"/>
        <v>31.134464821846759</v>
      </c>
      <c r="AA40">
        <f t="shared" ca="1" si="29"/>
        <v>31.729548285116998</v>
      </c>
      <c r="AB40">
        <f t="shared" ca="1" si="29"/>
        <v>32.211084603543888</v>
      </c>
      <c r="AC40">
        <f t="shared" ca="1" si="29"/>
        <v>32.600344701598623</v>
      </c>
      <c r="AD40">
        <f t="shared" ca="1" si="29"/>
        <v>32.914833989757014</v>
      </c>
      <c r="AE40">
        <f t="shared" ca="1" si="29"/>
        <v>33.168874542978557</v>
      </c>
      <c r="AF40">
        <f t="shared" ca="1" si="29"/>
        <v>33.374129709684695</v>
      </c>
      <c r="AG40">
        <f t="shared" ca="1" si="29"/>
        <v>33.540062766195064</v>
      </c>
      <c r="AH40">
        <f t="shared" ca="1" si="29"/>
        <v>33.674329525217466</v>
      </c>
      <c r="AI40">
        <f t="shared" ca="1" si="29"/>
        <v>33.782970494612691</v>
      </c>
    </row>
    <row r="41" spans="1:35">
      <c r="G41" s="1">
        <f ca="1">re*phi_q1+f1_*phi_q1*$H33+f1_*re*G37</f>
        <v>0.90519744238239441</v>
      </c>
      <c r="H41" s="1">
        <f ca="1">re*phi_q3+f3_*phi_q3*$H33+f3_*re*H37</f>
        <v>0.93733371709578517</v>
      </c>
      <c r="I41" s="1">
        <f ca="1">re*phi_q3+f1_*phi_q3*$H33+f3_*re*I37</f>
        <v>0.73210698619815506</v>
      </c>
      <c r="J41" s="8" t="s">
        <v>67</v>
      </c>
      <c r="K41">
        <f t="shared" ref="K41:AI41" ca="1" si="30">flt1_*qa1_+lz*wa*flt3_*flt2_/za*(sa-oa/za)</f>
        <v>3.150793832241469E-18</v>
      </c>
      <c r="L41">
        <f t="shared" ca="1" si="30"/>
        <v>3.1317990480354779E-15</v>
      </c>
      <c r="M41">
        <f t="shared" ca="1" si="30"/>
        <v>1.0602862534072282E-12</v>
      </c>
      <c r="N41">
        <f t="shared" ca="1" si="30"/>
        <v>-1.103794484256833E-2</v>
      </c>
      <c r="O41">
        <f t="shared" ca="1" si="30"/>
        <v>-0.6251212868203414</v>
      </c>
      <c r="P41">
        <f t="shared" ca="1" si="30"/>
        <v>-1.1194849345535032</v>
      </c>
      <c r="Q41">
        <f t="shared" ca="1" si="30"/>
        <v>-0.67320169254327855</v>
      </c>
      <c r="R41">
        <f t="shared" ca="1" si="30"/>
        <v>4.2460785966049679</v>
      </c>
      <c r="S41">
        <f t="shared" ca="1" si="30"/>
        <v>17.954186367239956</v>
      </c>
      <c r="T41">
        <f t="shared" ca="1" si="30"/>
        <v>23.108210313251519</v>
      </c>
      <c r="U41">
        <f t="shared" ca="1" si="30"/>
        <v>25.37690478681364</v>
      </c>
      <c r="V41">
        <f t="shared" ca="1" si="30"/>
        <v>27.044916779060209</v>
      </c>
      <c r="W41">
        <f t="shared" ca="1" si="30"/>
        <v>28.397931643164355</v>
      </c>
      <c r="X41">
        <f t="shared" ca="1" si="30"/>
        <v>29.503558160252613</v>
      </c>
      <c r="Y41">
        <f t="shared" ca="1" si="30"/>
        <v>30.404743940379344</v>
      </c>
      <c r="Z41">
        <f t="shared" ca="1" si="30"/>
        <v>31.137197435458791</v>
      </c>
      <c r="AA41">
        <f t="shared" ca="1" si="30"/>
        <v>31.731165895046402</v>
      </c>
      <c r="AB41">
        <f t="shared" ca="1" si="30"/>
        <v>32.212033288071439</v>
      </c>
      <c r="AC41">
        <f t="shared" ca="1" si="30"/>
        <v>32.60089684802201</v>
      </c>
      <c r="AD41">
        <f t="shared" ca="1" si="30"/>
        <v>32.915153327468254</v>
      </c>
      <c r="AE41">
        <f t="shared" ca="1" si="30"/>
        <v>33.169058269623612</v>
      </c>
      <c r="AF41">
        <f t="shared" ca="1" si="30"/>
        <v>33.374234952500679</v>
      </c>
      <c r="AG41">
        <f t="shared" ca="1" si="30"/>
        <v>33.540122830037419</v>
      </c>
      <c r="AH41">
        <f t="shared" ca="1" si="30"/>
        <v>33.674363698011618</v>
      </c>
      <c r="AI41">
        <f t="shared" ca="1" si="30"/>
        <v>33.783077691589476</v>
      </c>
    </row>
    <row r="42" spans="1:35">
      <c r="A42" s="14" t="s">
        <v>39</v>
      </c>
      <c r="B42" s="15"/>
      <c r="C42" s="15"/>
      <c r="J42" s="8" t="s">
        <v>68</v>
      </c>
      <c r="K42">
        <f t="shared" ref="K42:AI42" ca="1" si="31">flt1_*qa1_+lz*wa*flt1_*flt3_/za*(sa-oa/za)</f>
        <v>3.1505125000254739E-18</v>
      </c>
      <c r="L42">
        <f t="shared" ca="1" si="31"/>
        <v>2.65063369374035E-15</v>
      </c>
      <c r="M42">
        <f t="shared" ca="1" si="31"/>
        <v>-3.9068887843868915E-11</v>
      </c>
      <c r="N42">
        <f t="shared" ca="1" si="31"/>
        <v>-1.9332470700953332E-7</v>
      </c>
      <c r="O42">
        <f t="shared" ca="1" si="31"/>
        <v>-2.6480787512321574E-4</v>
      </c>
      <c r="P42">
        <f t="shared" ca="1" si="31"/>
        <v>-1.4026564145077554E-2</v>
      </c>
      <c r="Q42">
        <f t="shared" ca="1" si="31"/>
        <v>-8.2696657368655738E-2</v>
      </c>
      <c r="R42">
        <f t="shared" ca="1" si="31"/>
        <v>3.6672018740485068</v>
      </c>
      <c r="S42">
        <f t="shared" ca="1" si="31"/>
        <v>16.5567037523106</v>
      </c>
      <c r="T42">
        <f t="shared" ca="1" si="31"/>
        <v>21.757715828160897</v>
      </c>
      <c r="U42">
        <f t="shared" ca="1" si="31"/>
        <v>24.216059280992042</v>
      </c>
      <c r="V42">
        <f t="shared" ca="1" si="31"/>
        <v>26.078309179033358</v>
      </c>
      <c r="W42">
        <f t="shared" ca="1" si="31"/>
        <v>27.607727546826069</v>
      </c>
      <c r="X42">
        <f t="shared" ca="1" si="31"/>
        <v>28.865820083469604</v>
      </c>
      <c r="Y42">
        <f t="shared" ca="1" si="31"/>
        <v>29.894816310496825</v>
      </c>
      <c r="Z42">
        <f t="shared" ca="1" si="31"/>
        <v>30.732218106210276</v>
      </c>
      <c r="AA42">
        <f t="shared" ca="1" si="31"/>
        <v>31.411122582744948</v>
      </c>
      <c r="AB42">
        <f t="shared" ca="1" si="31"/>
        <v>31.960022567399992</v>
      </c>
      <c r="AC42">
        <f t="shared" ca="1" si="31"/>
        <v>32.402974048584554</v>
      </c>
      <c r="AD42">
        <f t="shared" ca="1" si="31"/>
        <v>32.759999659274122</v>
      </c>
      <c r="AE42">
        <f t="shared" ca="1" si="31"/>
        <v>33.047590745674107</v>
      </c>
      <c r="AF42">
        <f t="shared" ca="1" si="31"/>
        <v>33.27922414504836</v>
      </c>
      <c r="AG42">
        <f t="shared" ca="1" si="31"/>
        <v>33.465848526112453</v>
      </c>
      <c r="AH42">
        <f t="shared" ca="1" si="31"/>
        <v>33.616319181063226</v>
      </c>
      <c r="AI42">
        <f t="shared" ca="1" si="31"/>
        <v>33.532348332221936</v>
      </c>
    </row>
    <row r="43" spans="1:35">
      <c r="A43" s="1" t="s">
        <v>40</v>
      </c>
      <c r="B43" s="1">
        <f ca="1">phif/phie</f>
        <v>0.43705623687567641</v>
      </c>
      <c r="J43" s="8" t="s">
        <v>61</v>
      </c>
      <c r="K43">
        <f t="shared" ref="K43:AI43" ca="1" si="32">flt1_*qa1_+lz*wa*flt2_*flt3_/za*(sa-oa/za)</f>
        <v>3.150793832241469E-18</v>
      </c>
      <c r="L43">
        <f t="shared" ca="1" si="32"/>
        <v>3.1317990480354779E-15</v>
      </c>
      <c r="M43">
        <f t="shared" ca="1" si="32"/>
        <v>1.0602862534072282E-12</v>
      </c>
      <c r="N43">
        <f t="shared" ca="1" si="32"/>
        <v>-1.103794484256833E-2</v>
      </c>
      <c r="O43">
        <f t="shared" ca="1" si="32"/>
        <v>-0.6251212868203414</v>
      </c>
      <c r="P43">
        <f t="shared" ca="1" si="32"/>
        <v>-1.1194849345535032</v>
      </c>
      <c r="Q43">
        <f t="shared" ca="1" si="32"/>
        <v>-0.67320169254327855</v>
      </c>
      <c r="R43">
        <f t="shared" ca="1" si="32"/>
        <v>4.2460785966049679</v>
      </c>
      <c r="S43">
        <f t="shared" ca="1" si="32"/>
        <v>17.954186367239956</v>
      </c>
      <c r="T43">
        <f t="shared" ca="1" si="32"/>
        <v>23.108210313251519</v>
      </c>
      <c r="U43">
        <f t="shared" ca="1" si="32"/>
        <v>25.37690478681364</v>
      </c>
      <c r="V43">
        <f t="shared" ca="1" si="32"/>
        <v>27.044916779060209</v>
      </c>
      <c r="W43">
        <f t="shared" ca="1" si="32"/>
        <v>28.397931643164355</v>
      </c>
      <c r="X43">
        <f t="shared" ca="1" si="32"/>
        <v>29.503558160252613</v>
      </c>
      <c r="Y43">
        <f t="shared" ca="1" si="32"/>
        <v>30.404743940379344</v>
      </c>
      <c r="Z43">
        <f t="shared" ca="1" si="32"/>
        <v>31.137197435458791</v>
      </c>
      <c r="AA43">
        <f t="shared" ca="1" si="32"/>
        <v>31.731165895046402</v>
      </c>
      <c r="AB43">
        <f t="shared" ca="1" si="32"/>
        <v>32.212033288071439</v>
      </c>
      <c r="AC43">
        <f t="shared" ca="1" si="32"/>
        <v>32.60089684802201</v>
      </c>
      <c r="AD43">
        <f t="shared" ca="1" si="32"/>
        <v>32.915153327468254</v>
      </c>
      <c r="AE43">
        <f t="shared" ca="1" si="32"/>
        <v>33.169058269623612</v>
      </c>
      <c r="AF43">
        <f t="shared" ca="1" si="32"/>
        <v>33.374234952500679</v>
      </c>
      <c r="AG43">
        <f t="shared" ca="1" si="32"/>
        <v>33.540122830037419</v>
      </c>
      <c r="AH43">
        <f t="shared" ca="1" si="32"/>
        <v>33.674363698011618</v>
      </c>
      <c r="AI43">
        <f t="shared" ca="1" si="32"/>
        <v>33.783077691589476</v>
      </c>
    </row>
    <row r="44" spans="1:35">
      <c r="A44" s="1" t="s">
        <v>41</v>
      </c>
      <c r="B44" s="10">
        <f ca="1">MAX(0,Ro*(reck-1/spr)/(reck-1))</f>
        <v>1.8461819542944805E-2</v>
      </c>
    </row>
    <row r="45" spans="1:35">
      <c r="A45" s="1" t="s">
        <v>43</v>
      </c>
      <c r="B45" s="1">
        <f ca="1">f1_*re*phi_q1</f>
        <v>2.2225719622710537E-2</v>
      </c>
      <c r="C45" s="19">
        <f ca="1">ye_1/SUM(ye_1,ye_2,ye_3)</f>
        <v>0.33333000000000002</v>
      </c>
      <c r="J45" s="2" t="s">
        <v>86</v>
      </c>
    </row>
    <row r="46" spans="1:35" ht="19" thickBot="1">
      <c r="A46" s="1" t="s">
        <v>44</v>
      </c>
      <c r="B46" s="1">
        <f ca="1">f2_*re*phi_q2</f>
        <v>2.2225719622710548E-2</v>
      </c>
      <c r="C46" s="19">
        <f ca="1">ye_2/SUM(ye_1,ye_2,ye_3)</f>
        <v>0.33333000000000013</v>
      </c>
      <c r="G46" s="31" t="s">
        <v>93</v>
      </c>
      <c r="H46" s="31"/>
      <c r="I46" s="31"/>
      <c r="J46" s="8" t="s">
        <v>75</v>
      </c>
      <c r="K46">
        <f t="shared" ref="K46:AI46" ca="1" si="33">lz*qa1_</f>
        <v>7.8401271045920977E-10</v>
      </c>
      <c r="L46">
        <f t="shared" ca="1" si="33"/>
        <v>5.5058850793243763E-8</v>
      </c>
      <c r="M46">
        <f t="shared" ca="1" si="33"/>
        <v>1.5439122739441714E-6</v>
      </c>
      <c r="N46">
        <f t="shared" ca="1" si="33"/>
        <v>3.131506359082028E-5</v>
      </c>
      <c r="O46">
        <f t="shared" ca="1" si="33"/>
        <v>1.3738206993818634E-3</v>
      </c>
      <c r="P46">
        <f t="shared" ca="1" si="33"/>
        <v>3.3891316112403307E-2</v>
      </c>
      <c r="Q46">
        <f t="shared" ca="1" si="33"/>
        <v>0.40187176190049395</v>
      </c>
      <c r="R46">
        <f t="shared" ca="1" si="33"/>
        <v>2.5247647225248735</v>
      </c>
      <c r="S46">
        <f t="shared" ca="1" si="33"/>
        <v>4.2400644612504408</v>
      </c>
      <c r="T46">
        <f t="shared" ca="1" si="33"/>
        <v>4.0134228617733214</v>
      </c>
      <c r="U46">
        <f t="shared" ca="1" si="33"/>
        <v>3.4932878589741154</v>
      </c>
      <c r="V46">
        <f t="shared" ca="1" si="33"/>
        <v>2.9852312266749932</v>
      </c>
      <c r="W46">
        <f t="shared" ca="1" si="33"/>
        <v>2.5251929565929991</v>
      </c>
      <c r="X46">
        <f t="shared" ca="1" si="33"/>
        <v>2.1199666527237957</v>
      </c>
      <c r="Y46">
        <f t="shared" ca="1" si="33"/>
        <v>1.7694552291126984</v>
      </c>
      <c r="Z46">
        <f t="shared" ca="1" si="33"/>
        <v>1.4703120505141447</v>
      </c>
      <c r="AA46">
        <f t="shared" ca="1" si="33"/>
        <v>1.2175789249372</v>
      </c>
      <c r="AB46">
        <f t="shared" ca="1" si="33"/>
        <v>1.0056893826436162</v>
      </c>
      <c r="AC46">
        <f t="shared" ca="1" si="33"/>
        <v>0.82907736532850485</v>
      </c>
      <c r="AD46">
        <f t="shared" ca="1" si="33"/>
        <v>0.68252056328107347</v>
      </c>
      <c r="AE46">
        <f t="shared" ca="1" si="33"/>
        <v>0.56131039434374075</v>
      </c>
      <c r="AF46">
        <f t="shared" ca="1" si="33"/>
        <v>0.46131352432852463</v>
      </c>
      <c r="AG46">
        <f t="shared" ca="1" si="33"/>
        <v>0.3789691249990122</v>
      </c>
      <c r="AH46">
        <f t="shared" ca="1" si="33"/>
        <v>0.31125092846106173</v>
      </c>
      <c r="AI46">
        <f t="shared" ca="1" si="33"/>
        <v>1.4130835167066664</v>
      </c>
    </row>
    <row r="47" spans="1:35" ht="19" thickTop="1">
      <c r="A47" s="1" t="s">
        <v>45</v>
      </c>
      <c r="B47" s="1">
        <f ca="1">f3_*re*phi_q3</f>
        <v>2.2226386400967003E-2</v>
      </c>
      <c r="C47" s="19">
        <f ca="1">ye_3/SUM(ye_1,ye_2,ye_3)</f>
        <v>0.33334000000000003</v>
      </c>
      <c r="F47" t="s">
        <v>83</v>
      </c>
      <c r="G47" s="30">
        <f ca="1">G39/G53</f>
        <v>1.0000000000000002</v>
      </c>
      <c r="H47" s="30">
        <f ca="1">H53/H39</f>
        <v>0.48427244600255592</v>
      </c>
      <c r="I47" s="30">
        <f ca="1">I53/I39</f>
        <v>0.89843681046421442</v>
      </c>
      <c r="J47" s="8" t="s">
        <v>76</v>
      </c>
      <c r="K47">
        <f t="shared" ref="K47:AI47" ca="1" si="34">lz*qa2_</f>
        <v>5.0047053936051668E-27</v>
      </c>
      <c r="L47">
        <f t="shared" ca="1" si="34"/>
        <v>9.3827195151093263E-18</v>
      </c>
      <c r="M47">
        <f t="shared" ca="1" si="34"/>
        <v>7.0203992015833999E-9</v>
      </c>
      <c r="N47">
        <f t="shared" ca="1" si="34"/>
        <v>1.7844236340944126</v>
      </c>
      <c r="O47">
        <f t="shared" ca="1" si="34"/>
        <v>3.2342837300849667</v>
      </c>
      <c r="P47">
        <f t="shared" ca="1" si="34"/>
        <v>2.6102223509270308</v>
      </c>
      <c r="Q47">
        <f t="shared" ca="1" si="34"/>
        <v>1.7655481188535407</v>
      </c>
      <c r="R47">
        <f t="shared" ca="1" si="34"/>
        <v>1.1248574832630216</v>
      </c>
      <c r="S47">
        <f t="shared" ca="1" si="34"/>
        <v>0.6848863590416957</v>
      </c>
      <c r="T47">
        <f t="shared" ca="1" si="34"/>
        <v>0.40427862604508763</v>
      </c>
      <c r="U47">
        <f t="shared" ca="1" si="34"/>
        <v>0.23442827420604756</v>
      </c>
      <c r="V47">
        <f t="shared" ca="1" si="34"/>
        <v>0.13422210180249899</v>
      </c>
      <c r="W47">
        <f t="shared" ca="1" si="34"/>
        <v>7.6105274658967631E-2</v>
      </c>
      <c r="X47">
        <f t="shared" ca="1" si="34"/>
        <v>4.2829245760791362E-2</v>
      </c>
      <c r="Y47">
        <f t="shared" ca="1" si="34"/>
        <v>2.3963140459203641E-2</v>
      </c>
      <c r="Z47">
        <f t="shared" ca="1" si="34"/>
        <v>1.3347705769631147E-2</v>
      </c>
      <c r="AA47">
        <f t="shared" ca="1" si="34"/>
        <v>7.4094715377225019E-3</v>
      </c>
      <c r="AB47">
        <f t="shared" ca="1" si="34"/>
        <v>4.1024850186344294E-3</v>
      </c>
      <c r="AC47">
        <f t="shared" ca="1" si="34"/>
        <v>2.2671029231313309E-3</v>
      </c>
      <c r="AD47">
        <f t="shared" ca="1" si="34"/>
        <v>1.2510796684020559E-3</v>
      </c>
      <c r="AE47">
        <f t="shared" ca="1" si="34"/>
        <v>6.8970815789374076E-4</v>
      </c>
      <c r="AF47">
        <f t="shared" ca="1" si="34"/>
        <v>3.7997193557727266E-4</v>
      </c>
      <c r="AG47">
        <f t="shared" ca="1" si="34"/>
        <v>2.0924361825624653E-4</v>
      </c>
      <c r="AH47">
        <f t="shared" ca="1" si="34"/>
        <v>1.1519990146611895E-4</v>
      </c>
      <c r="AI47">
        <f t="shared" ca="1" si="34"/>
        <v>3.5059227568045995E-4</v>
      </c>
    </row>
    <row r="48" spans="1:35">
      <c r="A48" s="1" t="s">
        <v>72</v>
      </c>
      <c r="B48" s="1">
        <f ca="1">SUM(B45:B47)</f>
        <v>6.6677825646388078E-2</v>
      </c>
      <c r="F48" t="s">
        <v>84</v>
      </c>
      <c r="G48" s="30">
        <f ca="1">G40/G54</f>
        <v>2.0649533299995397</v>
      </c>
      <c r="H48" s="30">
        <f t="shared" ref="H48" ca="1" si="35">H40/H54</f>
        <v>0.99999999999999989</v>
      </c>
      <c r="I48" s="30">
        <f ca="1">I54/I40</f>
        <v>0.4362829223653788</v>
      </c>
      <c r="J48" s="8" t="s">
        <v>77</v>
      </c>
      <c r="K48">
        <f t="shared" ref="K48:AI48" ca="1" si="36">lz*qa3_</f>
        <v>1.4359647873247046E-13</v>
      </c>
      <c r="L48">
        <f t="shared" ca="1" si="36"/>
        <v>2.0160113949976653E-8</v>
      </c>
      <c r="M48">
        <f t="shared" ca="1" si="36"/>
        <v>1.3857775667153315E-4</v>
      </c>
      <c r="N48">
        <f t="shared" ca="1" si="36"/>
        <v>5.1539246434585774E-2</v>
      </c>
      <c r="O48">
        <f t="shared" ca="1" si="36"/>
        <v>1.9950197423127238</v>
      </c>
      <c r="P48">
        <f t="shared" ca="1" si="36"/>
        <v>4.7555802318388034</v>
      </c>
      <c r="Q48">
        <f t="shared" ca="1" si="36"/>
        <v>4.7792478958354661</v>
      </c>
      <c r="R48">
        <f t="shared" ca="1" si="36"/>
        <v>4.336612269963207</v>
      </c>
      <c r="S48">
        <f t="shared" ca="1" si="36"/>
        <v>3.7486068695996373</v>
      </c>
      <c r="T48">
        <f t="shared" ca="1" si="36"/>
        <v>3.1402972356184935</v>
      </c>
      <c r="U48">
        <f t="shared" ca="1" si="36"/>
        <v>2.5841147928325348</v>
      </c>
      <c r="V48">
        <f t="shared" ca="1" si="36"/>
        <v>2.0995763382592294</v>
      </c>
      <c r="W48">
        <f t="shared" ca="1" si="36"/>
        <v>1.6893767303282297</v>
      </c>
      <c r="X48">
        <f t="shared" ca="1" si="36"/>
        <v>1.349135929430781</v>
      </c>
      <c r="Y48">
        <f t="shared" ca="1" si="36"/>
        <v>1.071179653552037</v>
      </c>
      <c r="Z48">
        <f t="shared" ca="1" si="36"/>
        <v>0.84669774206629567</v>
      </c>
      <c r="AA48">
        <f t="shared" ca="1" si="36"/>
        <v>0.66697899142679296</v>
      </c>
      <c r="AB48">
        <f t="shared" ca="1" si="36"/>
        <v>0.52405279330409404</v>
      </c>
      <c r="AC48">
        <f t="shared" ca="1" si="36"/>
        <v>0.41096266888093225</v>
      </c>
      <c r="AD48">
        <f t="shared" ca="1" si="36"/>
        <v>0.32182456623935463</v>
      </c>
      <c r="AE48">
        <f t="shared" ca="1" si="36"/>
        <v>0.25176924230237557</v>
      </c>
      <c r="AF48">
        <f t="shared" ca="1" si="36"/>
        <v>0.1968302802357183</v>
      </c>
      <c r="AG48">
        <f t="shared" ca="1" si="36"/>
        <v>0.15381393672825461</v>
      </c>
      <c r="AH48">
        <f t="shared" ca="1" si="36"/>
        <v>0.12017071599426747</v>
      </c>
      <c r="AI48">
        <f t="shared" ca="1" si="36"/>
        <v>0.51898159666440991</v>
      </c>
    </row>
    <row r="49" spans="1:19">
      <c r="A49" s="1"/>
      <c r="B49" s="1"/>
      <c r="F49" t="s">
        <v>85</v>
      </c>
      <c r="G49" s="30">
        <f ca="1">G41/G55</f>
        <v>1.1130443325038173</v>
      </c>
      <c r="H49" s="30">
        <f t="shared" ref="H49:I49" ca="1" si="37">H41/H55</f>
        <v>2.2920906337069935</v>
      </c>
      <c r="I49" s="30">
        <f t="shared" ca="1" si="37"/>
        <v>1</v>
      </c>
    </row>
    <row r="50" spans="1:19">
      <c r="A50" s="22" t="s">
        <v>87</v>
      </c>
      <c r="B50" s="34">
        <f ca="1">f1_*phi_q1</f>
        <v>1.203874816943713</v>
      </c>
      <c r="C50">
        <f ca="1">AVERAGE(B50:B52)/B50</f>
        <v>1.000010000100001</v>
      </c>
      <c r="L50" t="s">
        <v>166</v>
      </c>
      <c r="M50" t="s">
        <v>69</v>
      </c>
    </row>
    <row r="51" spans="1:19">
      <c r="A51" s="22" t="s">
        <v>88</v>
      </c>
      <c r="B51" s="34">
        <f ca="1">f2_*phi_q2</f>
        <v>1.2038748169437135</v>
      </c>
      <c r="C51">
        <f ca="1">AVERAGE(B50:B52)/B51</f>
        <v>1.0000100001000007</v>
      </c>
      <c r="G51" t="s">
        <v>70</v>
      </c>
      <c r="L51">
        <v>6.3773583469518225E-2</v>
      </c>
      <c r="M51">
        <v>1.060328571983868</v>
      </c>
      <c r="N51">
        <v>1.1131171688933663</v>
      </c>
      <c r="O51">
        <v>1.0401484153659204</v>
      </c>
    </row>
    <row r="52" spans="1:19">
      <c r="A52" s="22" t="s">
        <v>89</v>
      </c>
      <c r="B52" s="34">
        <f ca="1">f3_*phi_q3</f>
        <v>1.2039109335493874</v>
      </c>
      <c r="C52">
        <f ca="1">AVERAGE(B50:B52)/B52</f>
        <v>0.99998000039999213</v>
      </c>
      <c r="G52" s="1">
        <f ca="1">G39^0.5</f>
        <v>0.95048130685299781</v>
      </c>
      <c r="H52" s="1">
        <f ca="1">H40^0.5</f>
        <v>0.4779419788452538</v>
      </c>
      <c r="I52" s="10">
        <f ca="1">I41^0.5</f>
        <v>0.85563250651091738</v>
      </c>
      <c r="L52">
        <v>6.5291906864652541E-2</v>
      </c>
      <c r="M52">
        <v>1.1131171688933663</v>
      </c>
      <c r="N52">
        <v>0.23545919264713377</v>
      </c>
      <c r="O52">
        <v>0.94653580531552217</v>
      </c>
    </row>
    <row r="53" spans="1:19">
      <c r="A53" s="28" t="s">
        <v>90</v>
      </c>
      <c r="B53" s="33">
        <f ca="1">phi_t1*f1_</f>
        <v>4.1816769326088798E-2</v>
      </c>
      <c r="C53">
        <f ca="1">AVERAGE(B53:B55)/B53</f>
        <v>1.5444423986731552</v>
      </c>
      <c r="G53">
        <f t="shared" ref="G53:I55" ca="1" si="38">G$52*$J53</f>
        <v>0.90341471467698242</v>
      </c>
      <c r="H53">
        <f t="shared" ca="1" si="38"/>
        <v>0.45427491665274461</v>
      </c>
      <c r="I53">
        <f t="shared" ca="1" si="38"/>
        <v>0.81326270297440284</v>
      </c>
      <c r="J53">
        <f t="array" aca="1" ref="J53:J55" ca="1">TRANSPOSE(G52:I52)</f>
        <v>0.95048130685299781</v>
      </c>
      <c r="L53">
        <v>2.3330818388441223E-2</v>
      </c>
      <c r="M53">
        <v>1.0401484153659204</v>
      </c>
      <c r="N53">
        <v>0.94653580531552217</v>
      </c>
      <c r="O53">
        <v>0.74029827580357754</v>
      </c>
    </row>
    <row r="54" spans="1:19">
      <c r="A54" s="28" t="s">
        <v>91</v>
      </c>
      <c r="B54" s="33">
        <f ca="1">phi_t2*f2_</f>
        <v>9.5131305469006583E-2</v>
      </c>
      <c r="C54">
        <f ca="1">AVERAGE(B53:B55)/B54</f>
        <v>0.67888894412142486</v>
      </c>
      <c r="G54">
        <f t="shared" ca="1" si="38"/>
        <v>0.45427491665274466</v>
      </c>
      <c r="H54">
        <f t="shared" ca="1" si="38"/>
        <v>0.22842853514251704</v>
      </c>
      <c r="I54">
        <f t="shared" ca="1" si="38"/>
        <v>0.40894269332615235</v>
      </c>
      <c r="J54">
        <f ca="1"/>
        <v>0.4779419788452538</v>
      </c>
    </row>
    <row r="55" spans="1:19">
      <c r="A55" s="28" t="s">
        <v>92</v>
      </c>
      <c r="B55" s="33">
        <f ca="1">phi_t3*f3_</f>
        <v>5.680269977314447E-2</v>
      </c>
      <c r="C55">
        <f ca="1">AVERAGE(B53:B55)/B55</f>
        <v>1.1369810199282262</v>
      </c>
      <c r="G55">
        <f t="shared" ca="1" si="38"/>
        <v>0.81326270297440295</v>
      </c>
      <c r="H55">
        <f t="shared" ca="1" si="38"/>
        <v>0.40894269332615235</v>
      </c>
      <c r="I55">
        <f t="shared" ca="1" si="38"/>
        <v>0.73210698619815506</v>
      </c>
      <c r="J55">
        <f ca="1"/>
        <v>0.85563250651091738</v>
      </c>
      <c r="S55" s="32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110</v>
      </c>
      <c r="B1" t="e">
        <f>SUM(B5:B10)</f>
        <v>#VALUE!</v>
      </c>
      <c r="D1" t="s">
        <v>115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145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105</v>
      </c>
      <c r="E5" s="40">
        <v>4.1028500000000002E-7</v>
      </c>
      <c r="F5" s="40">
        <v>2.7047600000000001E-6</v>
      </c>
      <c r="G5" s="40">
        <v>1.5832999999999999E-5</v>
      </c>
      <c r="H5" s="40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106</v>
      </c>
      <c r="E6" s="40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107</v>
      </c>
      <c r="E7" s="40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0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116</v>
      </c>
      <c r="E13" s="4">
        <f>((EXP(g*(ah-Age)/gh)/(1+EXP((ah-Age)/gh))) *(1/(1-g))*((1-g)/g)^g)</f>
        <v>1.7502460147072378E-5</v>
      </c>
      <c r="F13" s="4">
        <f t="shared" ref="E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117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118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105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106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107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143</v>
      </c>
      <c r="AE55" t="s">
        <v>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O3" sqref="O3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21" t="s">
        <v>122</v>
      </c>
      <c r="B1" s="123">
        <v>79.168822149182773</v>
      </c>
      <c r="C1" s="123">
        <v>22.98361105407357</v>
      </c>
      <c r="D1" s="123"/>
      <c r="E1" s="123"/>
      <c r="G1" t="s">
        <v>154</v>
      </c>
      <c r="H1">
        <v>11.589243896481348</v>
      </c>
      <c r="L1" t="s">
        <v>158</v>
      </c>
      <c r="M1" s="30">
        <v>68.326420568694488</v>
      </c>
      <c r="N1" s="30">
        <v>38.408516095955889</v>
      </c>
      <c r="O1" s="30">
        <v>69.837585133519639</v>
      </c>
      <c r="S1">
        <v>7</v>
      </c>
    </row>
    <row r="2" spans="1:20">
      <c r="A2" s="121" t="s">
        <v>79</v>
      </c>
      <c r="B2" s="123">
        <f>(winf/a)^(1/b)</f>
        <v>150.8458480206651</v>
      </c>
      <c r="C2" s="123">
        <f>(winf/a)^(1/b)</f>
        <v>102.97947406727727</v>
      </c>
      <c r="D2" s="123"/>
      <c r="E2" s="123"/>
      <c r="G2" t="s">
        <v>155</v>
      </c>
      <c r="H2">
        <v>1.7732482925463899</v>
      </c>
      <c r="L2" t="s">
        <v>159</v>
      </c>
      <c r="M2" s="30">
        <v>3.3384853682502316</v>
      </c>
      <c r="N2" s="30">
        <v>4.3454951918181353</v>
      </c>
      <c r="O2" s="30">
        <v>5.132875393789968</v>
      </c>
      <c r="S2">
        <v>8.5</v>
      </c>
    </row>
    <row r="3" spans="1:20">
      <c r="A3" s="121" t="s">
        <v>123</v>
      </c>
      <c r="B3" s="123">
        <v>7.9515419810206461E-2</v>
      </c>
      <c r="C3" s="123">
        <v>9.7480652282570968E-2</v>
      </c>
      <c r="D3" s="123"/>
      <c r="E3" s="123"/>
      <c r="G3" t="s">
        <v>110</v>
      </c>
      <c r="H3">
        <f>SUMXMY2(H12:H41,I12:I41)</f>
        <v>1.1244801768290252E-4</v>
      </c>
      <c r="L3" t="s">
        <v>160</v>
      </c>
      <c r="M3" s="30">
        <v>1.0011065435408443E-4</v>
      </c>
      <c r="N3" s="30">
        <v>7.1540296784792068E-2</v>
      </c>
      <c r="O3" s="30">
        <v>0.13430722347707064</v>
      </c>
    </row>
    <row r="4" spans="1:20">
      <c r="A4" s="121" t="s">
        <v>124</v>
      </c>
      <c r="B4" s="123">
        <v>0.59695167544184935</v>
      </c>
      <c r="C4" s="123">
        <v>1.2429889527598235</v>
      </c>
      <c r="D4" s="123"/>
      <c r="E4" s="123"/>
      <c r="L4" t="s">
        <v>165</v>
      </c>
      <c r="M4">
        <f>SUMXMY2(M12:O41,J12:L41)</f>
        <v>5.8949966412543194E-2</v>
      </c>
    </row>
    <row r="7" spans="1:20">
      <c r="A7" s="121" t="s">
        <v>150</v>
      </c>
      <c r="B7" s="123">
        <v>3.24</v>
      </c>
      <c r="C7" s="123">
        <v>3.24</v>
      </c>
      <c r="D7" s="123"/>
      <c r="E7" s="123"/>
    </row>
    <row r="8" spans="1:20">
      <c r="A8" s="121" t="s">
        <v>151</v>
      </c>
      <c r="B8" s="124">
        <v>6.9199999999999998E-6</v>
      </c>
      <c r="C8" s="124">
        <v>6.9199999999999998E-6</v>
      </c>
      <c r="D8" s="124"/>
      <c r="E8" s="124"/>
    </row>
    <row r="10" spans="1:20">
      <c r="A10" t="s">
        <v>110</v>
      </c>
      <c r="B10">
        <f>SUMXMY2(B12:C41,F12:G41)</f>
        <v>161.31985158810977</v>
      </c>
      <c r="D10" s="125" t="s">
        <v>161</v>
      </c>
      <c r="E10" s="125"/>
      <c r="H10" s="126" t="s">
        <v>156</v>
      </c>
      <c r="I10" s="126"/>
      <c r="J10" s="126" t="s">
        <v>157</v>
      </c>
      <c r="K10" s="126"/>
      <c r="L10" s="126"/>
    </row>
    <row r="11" spans="1:20">
      <c r="A11" t="s">
        <v>115</v>
      </c>
      <c r="B11" t="s">
        <v>149</v>
      </c>
      <c r="C11" t="s">
        <v>146</v>
      </c>
      <c r="D11" t="s">
        <v>149</v>
      </c>
      <c r="E11" t="s">
        <v>146</v>
      </c>
      <c r="F11" t="s">
        <v>147</v>
      </c>
      <c r="G11" t="s">
        <v>148</v>
      </c>
      <c r="H11" t="s">
        <v>153</v>
      </c>
      <c r="I11" t="s">
        <v>152</v>
      </c>
      <c r="J11" t="s">
        <v>105</v>
      </c>
      <c r="K11" t="s">
        <v>106</v>
      </c>
      <c r="L11" t="s">
        <v>107</v>
      </c>
      <c r="M11" t="s">
        <v>105</v>
      </c>
      <c r="N11" t="s">
        <v>106</v>
      </c>
      <c r="O11" t="s">
        <v>107</v>
      </c>
      <c r="Q11" t="s">
        <v>162</v>
      </c>
      <c r="R11" t="s">
        <v>163</v>
      </c>
      <c r="S11" t="s">
        <v>164</v>
      </c>
    </row>
    <row r="12" spans="1:20">
      <c r="A12">
        <v>1</v>
      </c>
      <c r="B12">
        <f>winf*(1-EXP(-k*(Age+to)))^b</f>
        <v>8.0591250295953501E-2</v>
      </c>
      <c r="C12">
        <f>winf*(1-EXP(-k*(Age+to)))^b</f>
        <v>0.11780516003848085</v>
      </c>
      <c r="D12">
        <f>B$2*(1-EXP(-B$3*(Age+B$4)))</f>
        <v>17.988476469494113</v>
      </c>
      <c r="E12">
        <f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0">
        <f>S12</f>
        <v>7.6733015147097256E-6</v>
      </c>
      <c r="K12" s="40">
        <v>9.9999999999999995E-7</v>
      </c>
      <c r="L12" s="40">
        <v>9.9999999999999995E-7</v>
      </c>
      <c r="M12" s="4">
        <f>(1/(1-s_3))*((1-s_3)/s_3)^(s_3)*EXP(1/s_2*s_3*(s_1-$D12))/(1+EXP(1/s_2*(s_1-$D12)))</f>
        <v>2.8364364654376901E-7</v>
      </c>
      <c r="N12" s="4">
        <f>(1/(1-s_3))*((1-s_3)/s_3)^(s_3)*EXP(1/s_2*s_3*(s_1-$D12))/(1+EXP(1/s_2*(s_1-$D12)))</f>
        <v>1.6335604703535903E-2</v>
      </c>
      <c r="O12" s="4">
        <f>(1/(1-s_3))*((1-s_3)/s_3)^(s_3)*EXP(1/s_2*s_3*(s_1-$D12))/(1+EXP(1/s_2*(s_1-$D12)))</f>
        <v>2.3634057221484672E-4</v>
      </c>
      <c r="Q12" s="40">
        <v>4.1028500000000002E-7</v>
      </c>
      <c r="R12" s="40">
        <v>9.9999999999999995E-7</v>
      </c>
      <c r="S12" s="40">
        <f>1/(1+EXP(-LN(19)*(Age-$S$1)/($S$2-$S$1)))</f>
        <v>7.6733015147097256E-6</v>
      </c>
      <c r="T12" s="40">
        <f>1-R12</f>
        <v>0.99999899999999997</v>
      </c>
    </row>
    <row r="13" spans="1:20">
      <c r="A13">
        <v>2</v>
      </c>
      <c r="B13">
        <f>winf*(1-EXP(-k*(Age+to)))^b</f>
        <v>0.34363370566266094</v>
      </c>
      <c r="C13">
        <f>winf*(1-EXP(-k*(Age+to)))^b</f>
        <v>0.33451619799743121</v>
      </c>
      <c r="D13">
        <f>B$2*(1-EXP(-B$3*(Age+B$4)))</f>
        <v>28.143591925289599</v>
      </c>
      <c r="E13">
        <f>C$2*(1-EXP(-C$3*(Age+C$4)))</f>
        <v>27.910975645547655</v>
      </c>
      <c r="F13">
        <v>1.87</v>
      </c>
      <c r="G13">
        <v>1.33</v>
      </c>
      <c r="H13">
        <v>0</v>
      </c>
      <c r="I13">
        <v>0</v>
      </c>
      <c r="J13" s="40">
        <f t="shared" ref="J13:J41" si="0">S13</f>
        <v>5.4634159833132317E-5</v>
      </c>
      <c r="K13">
        <v>8.2440600000000003E-2</v>
      </c>
      <c r="L13">
        <v>3.4747100000000002E-4</v>
      </c>
      <c r="M13" s="4">
        <f>(1/(1-s_3))*((1-s_3)/s_3)^(s_3)*EXP(1/s_2*s_3*(s_1-$D13))/(1+EXP(1/s_2*(s_1-$D13)))</f>
        <v>5.9386770559083851E-6</v>
      </c>
      <c r="N13" s="4">
        <f>(1/(1-s_3))*((1-s_3)/s_3)^(s_3)*EXP(1/s_2*s_3*(s_1-$D13))/(1+EXP(1/s_2*(s_1-$D13)))</f>
        <v>0.13190983706155679</v>
      </c>
      <c r="O13" s="4">
        <f>(1/(1-s_3))*((1-s_3)/s_3)^(s_3)*EXP(1/s_2*s_3*(s_1-$D13))/(1+EXP(1/s_2*(s_1-$D13)))</f>
        <v>1.3099502801474678E-3</v>
      </c>
      <c r="Q13" s="40">
        <v>2.7047600000000001E-6</v>
      </c>
      <c r="R13" s="40">
        <v>3.01682E-8</v>
      </c>
      <c r="S13" s="40">
        <f>1/(1+EXP(-LN(19)*(Age-$S$1)/($S$2-$S$1)))</f>
        <v>5.4634159833132317E-5</v>
      </c>
      <c r="T13" s="40">
        <f t="shared" ref="T13:T41" si="1">1-R13</f>
        <v>0.99999996983179995</v>
      </c>
    </row>
    <row r="14" spans="1:20">
      <c r="A14">
        <v>3</v>
      </c>
      <c r="B14">
        <f>winf*(1-EXP(-k*(Age+to)))^b</f>
        <v>0.87259153282617763</v>
      </c>
      <c r="C14">
        <f>winf*(1-EXP(-k*(Age+to)))^b</f>
        <v>0.68895181585083343</v>
      </c>
      <c r="D14">
        <f>B$2*(1-EXP(-B$3*(Age+B$4)))</f>
        <v>37.522488728582118</v>
      </c>
      <c r="E14">
        <f>C$2*(1-EXP(-C$3*(Age+C$4)))</f>
        <v>34.88334587994742</v>
      </c>
      <c r="F14">
        <v>2.81</v>
      </c>
      <c r="G14">
        <v>2</v>
      </c>
      <c r="H14">
        <v>0</v>
      </c>
      <c r="I14">
        <v>0</v>
      </c>
      <c r="J14" s="40">
        <f t="shared" si="0"/>
        <v>3.8888525246728363E-4</v>
      </c>
      <c r="K14">
        <v>0.62406499999999998</v>
      </c>
      <c r="L14">
        <v>3.3551800000000001E-3</v>
      </c>
      <c r="M14" s="4">
        <f>(1/(1-s_3))*((1-s_3)/s_3)^(s_3)*EXP(1/s_2*s_3*(s_1-$D14))/(1+EXP(1/s_2*(s_1-$D14)))</f>
        <v>9.8537741525171272E-5</v>
      </c>
      <c r="N14" s="4">
        <f>(1/(1-s_3))*((1-s_3)/s_3)^(s_3)*EXP(1/s_2*s_3*(s_1-$D14))/(1+EXP(1/s_2*(s_1-$D14)))</f>
        <v>0.58972979919539303</v>
      </c>
      <c r="O14" s="4">
        <f>(1/(1-s_3))*((1-s_3)/s_3)^(s_3)*EXP(1/s_2*s_3*(s_1-$D14))/(1+EXP(1/s_2*(s_1-$D14)))</f>
        <v>6.3614425246710914E-3</v>
      </c>
      <c r="Q14" s="40">
        <v>1.5832999999999999E-5</v>
      </c>
      <c r="R14" s="40">
        <v>9.9230800000000002E-7</v>
      </c>
      <c r="S14" s="40">
        <f>1/(1+EXP(-LN(19)*(Age-$S$1)/($S$2-$S$1)))</f>
        <v>3.8888525246728363E-4</v>
      </c>
      <c r="T14" s="40">
        <f t="shared" si="1"/>
        <v>0.99999900769200001</v>
      </c>
    </row>
    <row r="15" spans="1:20">
      <c r="A15">
        <v>4</v>
      </c>
      <c r="B15">
        <f>winf*(1-EXP(-k*(Age+to)))^b</f>
        <v>1.7103062171013894</v>
      </c>
      <c r="C15">
        <f>winf*(1-EXP(-k*(Age+to)))^b</f>
        <v>1.1820896822228117</v>
      </c>
      <c r="D15">
        <f>B$2*(1-EXP(-B$3*(Age+B$4)))</f>
        <v>46.184498100086614</v>
      </c>
      <c r="E15">
        <f>C$2*(1-EXP(-C$3*(Age+C$4)))</f>
        <v>41.20812161455536</v>
      </c>
      <c r="F15">
        <v>3.75</v>
      </c>
      <c r="G15">
        <v>2.66</v>
      </c>
      <c r="H15">
        <v>0</v>
      </c>
      <c r="I15">
        <v>0</v>
      </c>
      <c r="J15" s="40">
        <f t="shared" si="0"/>
        <v>2.7624309392265205E-3</v>
      </c>
      <c r="K15">
        <v>0.99904499999999996</v>
      </c>
      <c r="L15">
        <v>2.2178699999999999E-2</v>
      </c>
      <c r="M15" s="4">
        <f>(1/(1-s_3))*((1-s_3)/s_3)^(s_3)*EXP(1/s_2*s_3*(s_1-$D15))/(1+EXP(1/s_2*(s_1-$D15)))</f>
        <v>1.3175834188895359E-3</v>
      </c>
      <c r="N15" s="4">
        <f>(1/(1-s_3))*((1-s_3)/s_3)^(s_3)*EXP(1/s_2*s_3*(s_1-$D15))/(1+EXP(1/s_2*(s_1-$D15)))</f>
        <v>0.97541265754479078</v>
      </c>
      <c r="O15" s="4">
        <f>(1/(1-s_3))*((1-s_3)/s_3)^(s_3)*EXP(1/s_2*s_3*(s_1-$D15))/(1+EXP(1/s_2*(s_1-$D15)))</f>
        <v>2.7196301541123791E-2</v>
      </c>
      <c r="Q15" s="40">
        <v>8.1434500000000001E-5</v>
      </c>
      <c r="R15">
        <v>1.48636E-4</v>
      </c>
      <c r="S15" s="40">
        <f>1/(1+EXP(-LN(19)*(Age-$S$1)/($S$2-$S$1)))</f>
        <v>2.7624309392265205E-3</v>
      </c>
      <c r="T15" s="40">
        <f t="shared" si="1"/>
        <v>0.99985136399999996</v>
      </c>
    </row>
    <row r="16" spans="1:20">
      <c r="A16">
        <v>5</v>
      </c>
      <c r="B16">
        <f>winf*(1-EXP(-k*(Age+to)))^b</f>
        <v>2.8698496560174056</v>
      </c>
      <c r="C16">
        <f>winf*(1-EXP(-k*(Age+to)))^b</f>
        <v>1.8033046393626977</v>
      </c>
      <c r="D16">
        <f>B$2*(1-EXP(-B$3*(Age+B$4)))</f>
        <v>54.184416206200311</v>
      </c>
      <c r="E16">
        <f>C$2*(1-EXP(-C$3*(Age+C$4)))</f>
        <v>46.945451496397048</v>
      </c>
      <c r="F16">
        <v>4.6900000000000004</v>
      </c>
      <c r="G16">
        <v>3.33</v>
      </c>
      <c r="H16">
        <v>0</v>
      </c>
      <c r="I16">
        <v>0</v>
      </c>
      <c r="J16" s="40">
        <f t="shared" si="0"/>
        <v>1.9342497699835048E-2</v>
      </c>
      <c r="K16">
        <v>0.99992899999999996</v>
      </c>
      <c r="L16">
        <v>0.100359</v>
      </c>
      <c r="M16" s="4">
        <f>(1/(1-s_3))*((1-s_3)/s_3)^(s_3)*EXP(1/s_2*s_3*(s_1-$D16))/(1+EXP(1/s_2*(s_1-$D16)))</f>
        <v>1.4278950209474584E-2</v>
      </c>
      <c r="N16" s="4">
        <f>(1/(1-s_3))*((1-s_3)/s_3)^(s_3)*EXP(1/s_2*s_3*(s_1-$D16))/(1+EXP(1/s_2*(s_1-$D16)))</f>
        <v>0.97212068404856788</v>
      </c>
      <c r="O16" s="4">
        <f>(1/(1-s_3))*((1-s_3)/s_3)^(s_3)*EXP(1/s_2*s_3*(s_1-$D16))/(1+EXP(1/s_2*(s_1-$D16)))</f>
        <v>0.10108378886134205</v>
      </c>
      <c r="Q16">
        <v>3.67432E-4</v>
      </c>
      <c r="R16">
        <v>7.2027599999999999E-3</v>
      </c>
      <c r="S16" s="40">
        <f>1/(1+EXP(-LN(19)*(Age-$S$1)/($S$2-$S$1)))</f>
        <v>1.9342497699835048E-2</v>
      </c>
      <c r="T16" s="40">
        <f t="shared" si="1"/>
        <v>0.99279724000000003</v>
      </c>
    </row>
    <row r="17" spans="1:20">
      <c r="A17">
        <v>6</v>
      </c>
      <c r="B17">
        <f>winf*(1-EXP(-k*(Age+to)))^b</f>
        <v>4.3423747683644285</v>
      </c>
      <c r="C17">
        <f>winf*(1-EXP(-k*(Age+to)))^b</f>
        <v>2.5351712654216572</v>
      </c>
      <c r="D17">
        <f>B$2*(1-EXP(-B$3*(Age+B$4)))</f>
        <v>61.57285080141822</v>
      </c>
      <c r="E17">
        <f>C$2*(1-EXP(-C$3*(Age+C$4)))</f>
        <v>52.14989755967143</v>
      </c>
      <c r="F17">
        <v>5.62</v>
      </c>
      <c r="G17">
        <v>3.99</v>
      </c>
      <c r="H17">
        <v>0</v>
      </c>
      <c r="I17">
        <v>0</v>
      </c>
      <c r="J17" s="40">
        <f t="shared" si="0"/>
        <v>0.12314713802987556</v>
      </c>
      <c r="K17">
        <v>0.97229699999999997</v>
      </c>
      <c r="L17">
        <v>0.31086599999999998</v>
      </c>
      <c r="M17" s="4">
        <f>(1/(1-s_3))*((1-s_3)/s_3)^(s_3)*EXP(1/s_2*s_3*(s_1-$D17))/(1+EXP(1/s_2*(s_1-$D17)))</f>
        <v>0.11695802776446525</v>
      </c>
      <c r="N17" s="4">
        <f>(1/(1-s_3))*((1-s_3)/s_3)^(s_3)*EXP(1/s_2*s_3*(s_1-$D17))/(1+EXP(1/s_2*(s_1-$D17)))</f>
        <v>0.87934257175245356</v>
      </c>
      <c r="O17" s="4">
        <f>(1/(1-s_3))*((1-s_3)/s_3)^(s_3)*EXP(1/s_2*s_3*(s_1-$D17))/(1+EXP(1/s_2*(s_1-$D17)))</f>
        <v>0.30678453968614672</v>
      </c>
      <c r="Q17">
        <v>1.4539500000000001E-3</v>
      </c>
      <c r="R17">
        <v>0.10777</v>
      </c>
      <c r="S17" s="40">
        <f>1/(1+EXP(-LN(19)*(Age-$S$1)/($S$2-$S$1)))</f>
        <v>0.12314713802987556</v>
      </c>
      <c r="T17" s="40">
        <f t="shared" si="1"/>
        <v>0.89222999999999997</v>
      </c>
    </row>
    <row r="18" spans="1:20">
      <c r="A18">
        <v>7</v>
      </c>
      <c r="B18">
        <f>winf*(1-EXP(-k*(Age+to)))^b</f>
        <v>6.1040307381029963</v>
      </c>
      <c r="C18">
        <f>winf*(1-EXP(-k*(Age+to)))^b</f>
        <v>3.3570001528537921</v>
      </c>
      <c r="D18">
        <f>B$2*(1-EXP(-B$3*(Age+B$4)))</f>
        <v>68.39654137471237</v>
      </c>
      <c r="E18">
        <f>C$2*(1-EXP(-C$3*(Age+C$4)))</f>
        <v>56.870954110952994</v>
      </c>
      <c r="F18">
        <v>6.56</v>
      </c>
      <c r="G18">
        <v>4.66</v>
      </c>
      <c r="H18">
        <v>0</v>
      </c>
      <c r="I18">
        <v>0</v>
      </c>
      <c r="J18" s="40">
        <f t="shared" si="0"/>
        <v>0.5</v>
      </c>
      <c r="K18">
        <v>0.87010799999999999</v>
      </c>
      <c r="L18">
        <v>0.65915699999999999</v>
      </c>
      <c r="M18" s="4">
        <f>(1/(1-s_3))*((1-s_3)/s_3)^(s_3)*EXP(1/s_2*s_3*(s_1-$D18))/(1+EXP(1/s_2*(s_1-$D18)))</f>
        <v>0.50576634258952136</v>
      </c>
      <c r="N18" s="4">
        <f>(1/(1-s_3))*((1-s_3)/s_3)^(s_3)*EXP(1/s_2*s_3*(s_1-$D18))/(1+EXP(1/s_2*(s_1-$D18)))</f>
        <v>0.78891484171584847</v>
      </c>
      <c r="O18" s="4">
        <f>(1/(1-s_3))*((1-s_3)/s_3)^(s_3)*EXP(1/s_2*s_3*(s_1-$D18))/(1+EXP(1/s_2*(s_1-$D18)))</f>
        <v>0.66289307656121965</v>
      </c>
      <c r="Q18">
        <v>5.0454899999999997E-3</v>
      </c>
      <c r="R18">
        <v>0.49762400000000001</v>
      </c>
      <c r="S18" s="40">
        <f>1/(1+EXP(-LN(19)*(Age-$S$1)/($S$2-$S$1)))</f>
        <v>0.5</v>
      </c>
      <c r="T18" s="40">
        <f t="shared" si="1"/>
        <v>0.50237599999999993</v>
      </c>
    </row>
    <row r="19" spans="1:20">
      <c r="A19">
        <v>8</v>
      </c>
      <c r="B19">
        <f>winf*(1-EXP(-k*(Age+to)))^b</f>
        <v>8.1215608997688413</v>
      </c>
      <c r="C19">
        <f>winf*(1-EXP(-k*(Age+to)))^b</f>
        <v>4.2472868091564102</v>
      </c>
      <c r="D19">
        <f>B$2*(1-EXP(-B$3*(Age+B$4)))</f>
        <v>74.698654825131271</v>
      </c>
      <c r="E19">
        <f>C$2*(1-EXP(-C$3*(Age+C$4)))</f>
        <v>61.153518420280442</v>
      </c>
      <c r="F19">
        <v>7.32</v>
      </c>
      <c r="G19">
        <v>5.19</v>
      </c>
      <c r="H19">
        <f>1/(1+EXP(-(A19-ahat)/ghat))</f>
        <v>0.11669500804840012</v>
      </c>
      <c r="I19">
        <v>0.11700000000000001</v>
      </c>
      <c r="J19" s="40">
        <f t="shared" si="0"/>
        <v>0.87685286197012446</v>
      </c>
      <c r="K19">
        <v>0.73338099999999995</v>
      </c>
      <c r="L19">
        <v>0.956812</v>
      </c>
      <c r="M19" s="4">
        <f>(1/(1-s_3))*((1-s_3)/s_3)^(s_3)*EXP(1/s_2*s_3*(s_1-$D19))/(1+EXP(1/s_2*(s_1-$D19)))</f>
        <v>0.87159926141795308</v>
      </c>
      <c r="N19" s="4">
        <f>(1/(1-s_3))*((1-s_3)/s_3)^(s_3)*EXP(1/s_2*s_3*(s_1-$D19))/(1+EXP(1/s_2*(s_1-$D19)))</f>
        <v>0.71171413792260352</v>
      </c>
      <c r="O19" s="4">
        <f>(1/(1-s_3))*((1-s_3)/s_3)^(s_3)*EXP(1/s_2*s_3*(s_1-$D19))/(1+EXP(1/s_2*(s_1-$D19)))</f>
        <v>0.94130985460088645</v>
      </c>
      <c r="Q19">
        <v>1.5354400000000001E-2</v>
      </c>
      <c r="R19">
        <v>0.72506700000000002</v>
      </c>
      <c r="S19" s="40">
        <f>1/(1+EXP(-LN(19)*(Age-$S$1)/($S$2-$S$1)))</f>
        <v>0.87685286197012446</v>
      </c>
      <c r="T19" s="40">
        <f t="shared" si="1"/>
        <v>0.27493299999999998</v>
      </c>
    </row>
    <row r="20" spans="1:20">
      <c r="A20">
        <v>9</v>
      </c>
      <c r="B20">
        <f>winf*(1-EXP(-k*(Age+to)))^b</f>
        <v>10.356615299778031</v>
      </c>
      <c r="C20">
        <f>winf*(1-EXP(-k*(Age+to)))^b</f>
        <v>5.1853087831249134</v>
      </c>
      <c r="D20">
        <f>B$2*(1-EXP(-B$3*(Age+B$4)))</f>
        <v>80.519058537074145</v>
      </c>
      <c r="E20">
        <f>C$2*(1-EXP(-C$3*(Age+C$4)))</f>
        <v>65.038317694406203</v>
      </c>
      <c r="F20">
        <v>8.61</v>
      </c>
      <c r="G20">
        <v>5.83</v>
      </c>
      <c r="H20">
        <f>1/(1+EXP(-(A20-ahat)/ghat))</f>
        <v>0.18844133095417848</v>
      </c>
      <c r="I20">
        <v>0.189</v>
      </c>
      <c r="J20" s="40">
        <f t="shared" si="0"/>
        <v>0.98065750230016491</v>
      </c>
      <c r="K20">
        <v>0.60741199999999995</v>
      </c>
      <c r="L20">
        <v>0.99993900000000002</v>
      </c>
      <c r="M20" s="4">
        <f>(1/(1-s_3))*((1-s_3)/s_3)^(s_3)*EXP(1/s_2*s_3*(s_1-$D20))/(1+EXP(1/s_2*(s_1-$D20)))</f>
        <v>0.97536028929583096</v>
      </c>
      <c r="N20" s="4">
        <f>(1/(1-s_3))*((1-s_3)/s_3)^(s_3)*EXP(1/s_2*s_3*(s_1-$D20))/(1+EXP(1/s_2*(s_1-$D20)))</f>
        <v>0.64679455433425659</v>
      </c>
      <c r="O20" s="4">
        <f>(1/(1-s_3))*((1-s_3)/s_3)^(s_3)*EXP(1/s_2*s_3*(s_1-$D20))/(1+EXP(1/s_2*(s_1-$D20)))</f>
        <v>0.99739356180919092</v>
      </c>
      <c r="Q20">
        <v>4.0977E-2</v>
      </c>
      <c r="R20">
        <v>0.72564200000000001</v>
      </c>
      <c r="S20" s="40">
        <f>1/(1+EXP(-LN(19)*(Age-$S$1)/($S$2-$S$1)))</f>
        <v>0.98065750230016491</v>
      </c>
      <c r="T20" s="40">
        <f t="shared" si="1"/>
        <v>0.27435799999999999</v>
      </c>
    </row>
    <row r="21" spans="1:20">
      <c r="A21">
        <v>10</v>
      </c>
      <c r="B21">
        <f>winf*(1-EXP(-k*(Age+to)))^b</f>
        <v>12.768945602324004</v>
      </c>
      <c r="C21">
        <f>winf*(1-EXP(-k*(Age+to)))^b</f>
        <v>6.1520895060125795</v>
      </c>
      <c r="D21">
        <f>B$2*(1-EXP(-B$3*(Age+B$4)))</f>
        <v>85.894572582722859</v>
      </c>
      <c r="E21">
        <f>C$2*(1-EXP(-C$3*(Age+C$4)))</f>
        <v>68.562296392724463</v>
      </c>
      <c r="F21">
        <v>10.94</v>
      </c>
      <c r="G21">
        <v>6.89</v>
      </c>
      <c r="H21">
        <f>1/(1+EXP(-(A21-ahat)/ghat))</f>
        <v>0.28982520163491809</v>
      </c>
      <c r="I21">
        <v>0.28999999999999998</v>
      </c>
      <c r="J21" s="40">
        <f t="shared" si="0"/>
        <v>0.99723756906077354</v>
      </c>
      <c r="K21">
        <v>0.51769500000000002</v>
      </c>
      <c r="L21">
        <v>0.99763400000000002</v>
      </c>
      <c r="M21" s="4">
        <f>(1/(1-s_3))*((1-s_3)/s_3)^(s_3)*EXP(1/s_2*s_3*(s_1-$D21))/(1+EXP(1/s_2*(s_1-$D21)))</f>
        <v>0.99533622461559623</v>
      </c>
      <c r="N21" s="4">
        <f>(1/(1-s_3))*((1-s_3)/s_3)^(s_3)*EXP(1/s_2*s_3*(s_1-$D21))/(1+EXP(1/s_2*(s_1-$D21)))</f>
        <v>0.59204048448690971</v>
      </c>
      <c r="O21" s="4">
        <f>(1/(1-s_3))*((1-s_3)/s_3)^(s_3)*EXP(1/s_2*s_3*(s_1-$D21))/(1+EXP(1/s_2*(s_1-$D21)))</f>
        <v>0.93377755151852471</v>
      </c>
      <c r="Q21">
        <v>9.59005E-2</v>
      </c>
      <c r="R21">
        <v>0.72564499999999998</v>
      </c>
      <c r="S21" s="40">
        <f>1/(1+EXP(-LN(19)*(Age-$S$1)/($S$2-$S$1)))</f>
        <v>0.99723756906077354</v>
      </c>
      <c r="T21" s="40">
        <f t="shared" si="1"/>
        <v>0.27435500000000002</v>
      </c>
    </row>
    <row r="22" spans="1:20">
      <c r="A22">
        <v>11</v>
      </c>
      <c r="B22">
        <f>winf*(1-EXP(-k*(Age+to)))^b</f>
        <v>15.318681949781213</v>
      </c>
      <c r="C22">
        <f>winf*(1-EXP(-k*(Age+to)))^b</f>
        <v>7.1309094727395204</v>
      </c>
      <c r="D22">
        <f>B$2*(1-EXP(-B$3*(Age+B$4)))</f>
        <v>90.859202647073005</v>
      </c>
      <c r="E22">
        <f>C$2*(1-EXP(-C$3*(Age+C$4)))</f>
        <v>71.758967569254054</v>
      </c>
      <c r="F22">
        <v>14.14</v>
      </c>
      <c r="G22">
        <v>8.39</v>
      </c>
      <c r="H22">
        <f>1/(1+EXP(-(A22-ahat)/ghat))</f>
        <v>0.41768199627570923</v>
      </c>
      <c r="I22">
        <v>0.41799999999999998</v>
      </c>
      <c r="J22" s="40">
        <f t="shared" si="0"/>
        <v>0.99961111474753284</v>
      </c>
      <c r="K22">
        <v>0.46621699999999999</v>
      </c>
      <c r="L22">
        <v>0.877745</v>
      </c>
      <c r="M22" s="4">
        <f>(1/(1-s_3))*((1-s_3)/s_3)^(s_3)*EXP(1/s_2*s_3*(s_1-$D22))/(1+EXP(1/s_2*(s_1-$D22)))</f>
        <v>0.99917580738330347</v>
      </c>
      <c r="N22" s="4">
        <f>(1/(1-s_3))*((1-s_3)/s_3)^(s_3)*EXP(1/s_2*s_3*(s_1-$D22))/(1+EXP(1/s_2*(s_1-$D22)))</f>
        <v>0.54558252255377848</v>
      </c>
      <c r="O22" s="4">
        <f>(1/(1-s_3))*((1-s_3)/s_3)^(s_3)*EXP(1/s_2*s_3*(s_1-$D22))/(1+EXP(1/s_2*(s_1-$D22)))</f>
        <v>0.84191972227902467</v>
      </c>
      <c r="Q22">
        <v>0.196824</v>
      </c>
      <c r="R22">
        <v>0.72542899999999999</v>
      </c>
      <c r="S22" s="40">
        <f>1/(1+EXP(-LN(19)*(Age-$S$1)/($S$2-$S$1)))</f>
        <v>0.99961111474753284</v>
      </c>
      <c r="T22" s="40">
        <f t="shared" si="1"/>
        <v>0.27457100000000001</v>
      </c>
    </row>
    <row r="23" spans="1:20">
      <c r="A23">
        <v>12</v>
      </c>
      <c r="B23">
        <f>winf*(1-EXP(-k*(Age+to)))^b</f>
        <v>17.967882472883002</v>
      </c>
      <c r="C23">
        <f>winf*(1-EXP(-k*(Age+to)))^b</f>
        <v>8.1075056825163632</v>
      </c>
      <c r="D23">
        <f>B$2*(1-EXP(-B$3*(Age+B$4)))</f>
        <v>95.44435514905561</v>
      </c>
      <c r="E23">
        <f>C$2*(1-EXP(-C$3*(Age+C$4)))</f>
        <v>74.658731581939975</v>
      </c>
      <c r="F23">
        <v>17.64</v>
      </c>
      <c r="G23">
        <v>9.19</v>
      </c>
      <c r="H23">
        <f>1/(1+EXP(-(A23-ahat)/ghat))</f>
        <v>0.5576525626139911</v>
      </c>
      <c r="I23">
        <v>0.55700000000000005</v>
      </c>
      <c r="J23" s="40">
        <f t="shared" si="0"/>
        <v>0.9999453658401668</v>
      </c>
      <c r="K23">
        <v>0.44195099999999998</v>
      </c>
      <c r="L23">
        <v>0.70250800000000002</v>
      </c>
      <c r="M23" s="4">
        <f>(1/(1-s_3))*((1-s_3)/s_3)^(s_3)*EXP(1/s_2*s_3*(s_1-$D23))/(1+EXP(1/s_2*(s_1-$D23)))</f>
        <v>0.99991222545862457</v>
      </c>
      <c r="N23" s="4">
        <f>(1/(1-s_3))*((1-s_3)/s_3)^(s_3)*EXP(1/s_2*s_3*(s_1-$D23))/(1+EXP(1/s_2*(s_1-$D23)))</f>
        <v>0.50591668865659822</v>
      </c>
      <c r="O23" s="4">
        <f>(1/(1-s_3))*((1-s_3)/s_3)^(s_3)*EXP(1/s_2*s_3*(s_1-$D23))/(1+EXP(1/s_2*(s_1-$D23)))</f>
        <v>0.75402756644879798</v>
      </c>
      <c r="Q23">
        <v>0.35424899999999998</v>
      </c>
      <c r="R23">
        <v>0.61431199999999997</v>
      </c>
      <c r="S23" s="40">
        <f>1/(1+EXP(-LN(19)*(Age-$S$1)/($S$2-$S$1)))</f>
        <v>0.9999453658401668</v>
      </c>
      <c r="T23" s="40">
        <f t="shared" si="1"/>
        <v>0.38568800000000003</v>
      </c>
    </row>
    <row r="24" spans="1:20">
      <c r="A24">
        <v>13</v>
      </c>
      <c r="B24">
        <f>winf*(1-EXP(-k*(Age+to)))^b</f>
        <v>20.681522180929427</v>
      </c>
      <c r="C24">
        <f>winf*(1-EXP(-k*(Age+to)))^b</f>
        <v>9.0700652618957047</v>
      </c>
      <c r="D24">
        <f>B$2*(1-EXP(-B$3*(Age+B$4)))</f>
        <v>99.679035919613639</v>
      </c>
      <c r="E24">
        <f>C$2*(1-EXP(-C$3*(Age+C$4)))</f>
        <v>77.289165200200657</v>
      </c>
      <c r="F24">
        <v>19.920000000000002</v>
      </c>
      <c r="G24">
        <v>9.9</v>
      </c>
      <c r="H24">
        <f>1/(1+EXP(-(A24-ahat)/ghat))</f>
        <v>0.6890276304875329</v>
      </c>
      <c r="I24">
        <v>0.68899999999999995</v>
      </c>
      <c r="J24" s="40">
        <f t="shared" si="0"/>
        <v>0.99999232669848537</v>
      </c>
      <c r="K24">
        <v>0.432452</v>
      </c>
      <c r="L24">
        <v>0.60139100000000001</v>
      </c>
      <c r="M24" s="4">
        <f>(1/(1-s_3))*((1-s_3)/s_3)^(s_3)*EXP(1/s_2*s_3*(s_1-$D24))/(1+EXP(1/s_2*(s_1-$D24)))</f>
        <v>0.9999984360295282</v>
      </c>
      <c r="N24" s="4">
        <f>(1/(1-s_3))*((1-s_3)/s_3)^(s_3)*EXP(1/s_2*s_3*(s_1-$D24))/(1+EXP(1/s_2*(s_1-$D24)))</f>
        <v>0.4718481897149695</v>
      </c>
      <c r="O24" s="4">
        <f>(1/(1-s_3))*((1-s_3)/s_3)^(s_3)*EXP(1/s_2*s_3*(s_1-$D24))/(1+EXP(1/s_2*(s_1-$D24)))</f>
        <v>0.67751600239810272</v>
      </c>
      <c r="Q24">
        <v>0.55913199999999996</v>
      </c>
      <c r="R24">
        <v>0.29884899999999998</v>
      </c>
      <c r="S24" s="40">
        <f>1/(1+EXP(-LN(19)*(Age-$S$1)/($S$2-$S$1)))</f>
        <v>0.99999232669848537</v>
      </c>
      <c r="T24" s="40">
        <f t="shared" si="1"/>
        <v>0.70115100000000008</v>
      </c>
    </row>
    <row r="25" spans="1:20">
      <c r="A25">
        <v>14</v>
      </c>
      <c r="B25">
        <f>winf*(1-EXP(-k*(Age+to)))^b</f>
        <v>23.428060198404992</v>
      </c>
      <c r="C25">
        <f>winf*(1-EXP(-k*(Age+to)))^b</f>
        <v>10.009090622103578</v>
      </c>
      <c r="D25">
        <f>B$2*(1-EXP(-B$3*(Age+B$4)))</f>
        <v>103.59003369357639</v>
      </c>
      <c r="E25">
        <f>C$2*(1-EXP(-C$3*(Age+C$4)))</f>
        <v>79.675283860134996</v>
      </c>
      <c r="F25">
        <v>22.6</v>
      </c>
      <c r="G25">
        <v>10.06</v>
      </c>
      <c r="H25">
        <f>1/(1+EXP(-(A25-ahat)/ghat))</f>
        <v>0.79568071919478534</v>
      </c>
      <c r="I25">
        <v>0.79500000000000004</v>
      </c>
      <c r="J25" s="40">
        <f t="shared" si="0"/>
        <v>0.99999892233760723</v>
      </c>
      <c r="K25">
        <v>0.42934299999999997</v>
      </c>
      <c r="L25">
        <v>0.57030000000000003</v>
      </c>
      <c r="M25" s="4">
        <f>(1/(1-s_3))*((1-s_3)/s_3)^(s_3)*EXP(1/s_2*s_3*(s_1-$D25))/(1+EXP(1/s_2*(s_1-$D25)))</f>
        <v>0.99993874429527518</v>
      </c>
      <c r="N25" s="4">
        <f>(1/(1-s_3))*((1-s_3)/s_3)^(s_3)*EXP(1/s_2*s_3*(s_1-$D25))/(1+EXP(1/s_2*(s_1-$D25)))</f>
        <v>0.44242485182162405</v>
      </c>
      <c r="O25" s="4">
        <f>(1/(1-s_3))*((1-s_3)/s_3)^(s_3)*EXP(1/s_2*s_3*(s_1-$D25))/(1+EXP(1/s_2*(s_1-$D25)))</f>
        <v>0.61258428242154839</v>
      </c>
      <c r="Q25">
        <v>0.77392000000000005</v>
      </c>
      <c r="R25">
        <v>0.13281000000000001</v>
      </c>
      <c r="S25" s="40">
        <f>1/(1+EXP(-LN(19)*(Age-$S$1)/($S$2-$S$1)))</f>
        <v>0.99999892233760723</v>
      </c>
      <c r="T25" s="40">
        <f t="shared" si="1"/>
        <v>0.86719000000000002</v>
      </c>
    </row>
    <row r="26" spans="1:20">
      <c r="A26">
        <v>15</v>
      </c>
      <c r="B26">
        <f>winf*(1-EXP(-k*(Age+to)))^b</f>
        <v>26.179697655464778</v>
      </c>
      <c r="C26">
        <f>winf*(1-EXP(-k*(Age+to)))^b</f>
        <v>10.917191174065181</v>
      </c>
      <c r="D26">
        <f>B$2*(1-EXP(-B$3*(Age+B$4)))</f>
        <v>107.20208957610895</v>
      </c>
      <c r="E26">
        <f>C$2*(1-EXP(-C$3*(Age+C$4)))</f>
        <v>81.839779561437524</v>
      </c>
      <c r="F26">
        <v>24.53</v>
      </c>
      <c r="G26">
        <v>11.06</v>
      </c>
      <c r="H26">
        <f>1/(1+EXP(-(A26-ahat)/ghat))</f>
        <v>0.87252276488084946</v>
      </c>
      <c r="I26">
        <v>0.872</v>
      </c>
      <c r="J26" s="40">
        <f t="shared" si="0"/>
        <v>0.99999984865059099</v>
      </c>
      <c r="K26">
        <v>0.42848900000000001</v>
      </c>
      <c r="L26">
        <v>0.56481499999999996</v>
      </c>
      <c r="M26" s="4">
        <f>(1/(1-s_3))*((1-s_3)/s_3)^(s_3)*EXP(1/s_2*s_3*(s_1-$D26))/(1+EXP(1/s_2*(s_1-$D26)))</f>
        <v>0.99984753563761719</v>
      </c>
      <c r="N26" s="4">
        <f>(1/(1-s_3))*((1-s_3)/s_3)^(s_3)*EXP(1/s_2*s_3*(s_1-$D26))/(1+EXP(1/s_2*(s_1-$D26)))</f>
        <v>0.41688282204356231</v>
      </c>
      <c r="O26" s="4">
        <f>(1/(1-s_3))*((1-s_3)/s_3)^(s_3)*EXP(1/s_2*s_3*(s_1-$D26))/(1+EXP(1/s_2*(s_1-$D26)))</f>
        <v>0.55773094822713976</v>
      </c>
      <c r="Q26">
        <v>0.93940599999999996</v>
      </c>
      <c r="R26">
        <v>9.9476200000000001E-2</v>
      </c>
      <c r="S26" s="40">
        <f>1/(1+EXP(-LN(19)*(Age-$S$1)/($S$2-$S$1)))</f>
        <v>0.99999984865059099</v>
      </c>
      <c r="T26" s="40">
        <f t="shared" si="1"/>
        <v>0.90052379999999999</v>
      </c>
    </row>
    <row r="27" spans="1:20">
      <c r="A27">
        <v>16</v>
      </c>
      <c r="B27">
        <f>winf*(1-EXP(-k*(Age+to)))^b</f>
        <v>28.912414951107664</v>
      </c>
      <c r="C27">
        <f>winf*(1-EXP(-k*(Age+to)))^b</f>
        <v>11.788839683413327</v>
      </c>
      <c r="D27">
        <f>B$2*(1-EXP(-B$3*(Age+B$4)))</f>
        <v>110.53805355578629</v>
      </c>
      <c r="E27">
        <f>C$2*(1-EXP(-C$3*(Age+C$4)))</f>
        <v>83.803236668422315</v>
      </c>
      <c r="F27">
        <v>30.09</v>
      </c>
      <c r="G27">
        <v>11.53</v>
      </c>
      <c r="H27">
        <f>1/(1+EXP(-(A27-ahat)/ghat))</f>
        <v>0.92325291196511905</v>
      </c>
      <c r="I27">
        <v>0.92300000000000004</v>
      </c>
      <c r="J27" s="40">
        <f t="shared" si="0"/>
        <v>0.99999997874415447</v>
      </c>
      <c r="K27">
        <v>0.42829099999999998</v>
      </c>
      <c r="L27">
        <v>0.56424300000000005</v>
      </c>
      <c r="M27" s="4">
        <f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0">
        <f>1/(1+EXP(-LN(19)*(Age-$S$1)/($S$2-$S$1)))</f>
        <v>0.99999997874415447</v>
      </c>
      <c r="T27" s="40">
        <f t="shared" si="1"/>
        <v>0.90340620000000005</v>
      </c>
    </row>
    <row r="28" spans="1:20">
      <c r="A28">
        <v>17</v>
      </c>
      <c r="B28">
        <f>winf*(1-EXP(-k*(Age+to)))^b</f>
        <v>31.605857162379287</v>
      </c>
      <c r="C28">
        <f>winf*(1-EXP(-k*(Age+to)))^b</f>
        <v>12.6201187866659</v>
      </c>
      <c r="D28">
        <f>B$2*(1-EXP(-B$3*(Age+B$4)))</f>
        <v>113.61902905439959</v>
      </c>
      <c r="E28">
        <f>C$2*(1-EXP(-C$3*(Age+C$4)))</f>
        <v>85.584327667424603</v>
      </c>
      <c r="F28">
        <v>34.26</v>
      </c>
      <c r="G28">
        <v>12.17</v>
      </c>
      <c r="H28">
        <f>1/(1+EXP(-(A28-ahat)/ghat))</f>
        <v>0.95483967802827752</v>
      </c>
      <c r="I28">
        <v>0.95499999999999996</v>
      </c>
      <c r="J28" s="40">
        <f t="shared" si="0"/>
        <v>0.99999999701478237</v>
      </c>
      <c r="K28">
        <v>0.42825299999999999</v>
      </c>
      <c r="L28">
        <v>0.56420700000000001</v>
      </c>
      <c r="M28" s="4">
        <f>(1/(1-s_3))*((1-s_3)/s_3)^(s_3)*EXP(1/s_2*s_3*(s_1-$D28))/(1+EXP(1/s_2*(s_1-$D28)))</f>
        <v>0.99966264011439743</v>
      </c>
      <c r="N28" s="4">
        <f t="shared" ref="N28:N41" si="2">N27</f>
        <v>0.41688282204356231</v>
      </c>
      <c r="O28" s="4">
        <f t="shared" ref="O28:O41" si="3">O27</f>
        <v>0.55773094822713976</v>
      </c>
      <c r="Q28">
        <v>0.99999700000000002</v>
      </c>
      <c r="R28">
        <v>9.6482200000000004E-2</v>
      </c>
      <c r="S28" s="40">
        <f>1/(1+EXP(-LN(19)*(Age-$S$1)/($S$2-$S$1)))</f>
        <v>0.99999999701478237</v>
      </c>
      <c r="T28" s="40">
        <f t="shared" si="1"/>
        <v>0.90351780000000004</v>
      </c>
    </row>
    <row r="29" spans="1:20">
      <c r="A29">
        <v>18</v>
      </c>
      <c r="B29">
        <f>winf*(1-EXP(-k*(Age+to)))^b</f>
        <v>34.243119993698187</v>
      </c>
      <c r="C29">
        <f>winf*(1-EXP(-k*(Age+to)))^b</f>
        <v>13.408474063086208</v>
      </c>
      <c r="D29">
        <f>B$2*(1-EXP(-B$3*(Age+B$4)))</f>
        <v>116.46450642792129</v>
      </c>
      <c r="E29">
        <f>C$2*(1-EXP(-C$3*(Age+C$4)))</f>
        <v>87.199990742233766</v>
      </c>
      <c r="F29">
        <v>33.229999999999997</v>
      </c>
      <c r="G29">
        <v>17.59</v>
      </c>
      <c r="H29">
        <f>1/(1+EXP(-(A29-ahat)/ghat))</f>
        <v>0.97379527616781825</v>
      </c>
      <c r="I29">
        <v>0.97399999999999998</v>
      </c>
      <c r="J29" s="40">
        <f t="shared" si="0"/>
        <v>0.99999999958074959</v>
      </c>
      <c r="K29">
        <v>0.42824600000000002</v>
      </c>
      <c r="L29">
        <v>0.56420599999999999</v>
      </c>
      <c r="M29" s="4">
        <f>(1/(1-s_3))*((1-s_3)/s_3)^(s_3)*EXP(1/s_2*s_3*(s_1-$D29))/(1+EXP(1/s_2*(s_1-$D29)))</f>
        <v>0.99957808085935118</v>
      </c>
      <c r="N29" s="4">
        <f t="shared" si="2"/>
        <v>0.41688282204356231</v>
      </c>
      <c r="O29" s="4">
        <f t="shared" si="3"/>
        <v>0.55773094822713976</v>
      </c>
      <c r="Q29">
        <v>1</v>
      </c>
      <c r="R29">
        <v>9.6480300000000005E-2</v>
      </c>
      <c r="S29" s="40">
        <f>1/(1+EXP(-LN(19)*(Age-$S$1)/($S$2-$S$1)))</f>
        <v>0.99999999958074959</v>
      </c>
      <c r="T29" s="40">
        <f t="shared" si="1"/>
        <v>0.90351970000000004</v>
      </c>
    </row>
    <row r="30" spans="1:20">
      <c r="A30">
        <v>19</v>
      </c>
      <c r="B30">
        <f>winf*(1-EXP(-k*(Age+to)))^b</f>
        <v>36.810475489355611</v>
      </c>
      <c r="C30">
        <f>winf*(1-EXP(-k*(Age+to)))^b</f>
        <v>14.152483556211587</v>
      </c>
      <c r="D30">
        <f>B$2*(1-EXP(-B$3*(Age+B$4)))</f>
        <v>119.09248626316123</v>
      </c>
      <c r="E30">
        <f>C$2*(1-EXP(-C$3*(Age+C$4)))</f>
        <v>88.665590856300966</v>
      </c>
      <c r="F30">
        <v>42.13</v>
      </c>
      <c r="G30">
        <v>13.46</v>
      </c>
      <c r="H30">
        <f>1/(1+EXP(-(A30-ahat)/ghat))</f>
        <v>0.98492010635237082</v>
      </c>
      <c r="I30">
        <v>0.98499999999999999</v>
      </c>
      <c r="J30" s="40">
        <f t="shared" si="0"/>
        <v>0.99999999994111954</v>
      </c>
      <c r="K30">
        <v>0.42824499999999999</v>
      </c>
      <c r="L30">
        <v>0.56420599999999999</v>
      </c>
      <c r="M30" s="4">
        <f>(1/(1-s_3))*((1-s_3)/s_3)^(s_3)*EXP(1/s_2*s_3*(s_1-$D30))/(1+EXP(1/s_2*(s_1-$D30)))</f>
        <v>0.9994996101794672</v>
      </c>
      <c r="N30" s="4">
        <f t="shared" si="2"/>
        <v>0.41688282204356231</v>
      </c>
      <c r="O30" s="4">
        <f t="shared" si="3"/>
        <v>0.55773094822713976</v>
      </c>
      <c r="Q30">
        <v>1</v>
      </c>
      <c r="R30">
        <v>9.6480300000000005E-2</v>
      </c>
      <c r="S30" s="40">
        <f>1/(1+EXP(-LN(19)*(Age-$S$1)/($S$2-$S$1)))</f>
        <v>0.99999999994111954</v>
      </c>
      <c r="T30" s="40">
        <f t="shared" si="1"/>
        <v>0.90351970000000004</v>
      </c>
    </row>
    <row r="31" spans="1:20">
      <c r="A31">
        <v>20</v>
      </c>
      <c r="B31">
        <f>winf*(1-EXP(-k*(Age+to)))^b</f>
        <v>39.297066315159711</v>
      </c>
      <c r="C31">
        <f>winf*(1-EXP(-k*(Age+to)))^b</f>
        <v>14.851649107842517</v>
      </c>
      <c r="D31">
        <f>B$2*(1-EXP(-B$3*(Age+B$4)))</f>
        <v>121.5195932500919</v>
      </c>
      <c r="E31">
        <f>C$2*(1-EXP(-C$3*(Age+C$4)))</f>
        <v>89.995065873613925</v>
      </c>
      <c r="F31">
        <v>39.68</v>
      </c>
      <c r="G31">
        <v>14.66</v>
      </c>
      <c r="H31">
        <f>1/(1+EXP(-(A31-ahat)/ghat))</f>
        <v>0.99136393815032031</v>
      </c>
      <c r="I31">
        <v>1</v>
      </c>
      <c r="J31" s="40">
        <f t="shared" si="0"/>
        <v>0.99999999999173061</v>
      </c>
      <c r="K31">
        <v>0.42824499999999999</v>
      </c>
      <c r="L31">
        <v>0.56420599999999999</v>
      </c>
      <c r="M31" s="4">
        <f>(1/(1-s_3))*((1-s_3)/s_3)^(s_3)*EXP(1/s_2*s_3*(s_1-$D31))/(1+EXP(1/s_2*(s_1-$D31)))</f>
        <v>0.99942699646323441</v>
      </c>
      <c r="N31" s="4">
        <f t="shared" si="2"/>
        <v>0.41688282204356231</v>
      </c>
      <c r="O31" s="4">
        <f t="shared" si="3"/>
        <v>0.55773094822713976</v>
      </c>
      <c r="Q31">
        <v>1</v>
      </c>
      <c r="R31">
        <v>9.6480300000000005E-2</v>
      </c>
      <c r="S31" s="40">
        <f>1/(1+EXP(-LN(19)*(Age-$S$1)/($S$2-$S$1)))</f>
        <v>0.99999999999173061</v>
      </c>
      <c r="T31" s="40">
        <f t="shared" si="1"/>
        <v>0.90351970000000004</v>
      </c>
    </row>
    <row r="32" spans="1:20">
      <c r="A32">
        <v>21</v>
      </c>
      <c r="B32">
        <f>winf*(1-EXP(-k*(Age+to)))^b</f>
        <v>41.694589292671729</v>
      </c>
      <c r="C32">
        <f>winf*(1-EXP(-k*(Age+to)))^b</f>
        <v>15.506211788443029</v>
      </c>
      <c r="D32">
        <f>B$2*(1-EXP(-B$3*(Age+B$4)))</f>
        <v>123.76118135020377</v>
      </c>
      <c r="E32">
        <f>C$2*(1-EXP(-C$3*(Age+C$4)))</f>
        <v>91.201059107849034</v>
      </c>
      <c r="F32">
        <v>35.659999999999997</v>
      </c>
      <c r="G32">
        <v>14.59</v>
      </c>
      <c r="H32">
        <f>1/(1+EXP(-(A32-ahat)/ghat))</f>
        <v>0.99506802631864344</v>
      </c>
      <c r="I32">
        <v>1</v>
      </c>
      <c r="J32" s="40">
        <f t="shared" si="0"/>
        <v>0.99999999999883871</v>
      </c>
      <c r="K32">
        <v>0.42824499999999999</v>
      </c>
      <c r="L32">
        <v>0.56420599999999999</v>
      </c>
      <c r="M32" s="4">
        <f>(1/(1-s_3))*((1-s_3)/s_3)^(s_3)*EXP(1/s_2*s_3*(s_1-$D32))/(1+EXP(1/s_2*(s_1-$D32)))</f>
        <v>0.99935987786439751</v>
      </c>
      <c r="N32" s="4">
        <f t="shared" si="2"/>
        <v>0.41688282204356231</v>
      </c>
      <c r="O32" s="4">
        <f t="shared" si="3"/>
        <v>0.55773094822713976</v>
      </c>
      <c r="Q32">
        <v>1</v>
      </c>
      <c r="R32">
        <v>9.6480300000000005E-2</v>
      </c>
      <c r="S32" s="40">
        <f>1/(1+EXP(-LN(19)*(Age-$S$1)/($S$2-$S$1)))</f>
        <v>0.99999999999883871</v>
      </c>
      <c r="T32" s="40">
        <f t="shared" si="1"/>
        <v>0.90351970000000004</v>
      </c>
    </row>
    <row r="33" spans="1:20">
      <c r="A33">
        <v>22</v>
      </c>
      <c r="B33">
        <f>winf*(1-EXP(-k*(Age+to)))^b</f>
        <v>43.996982619123791</v>
      </c>
      <c r="C33">
        <f>winf*(1-EXP(-k*(Age+to)))^b</f>
        <v>16.116991683496067</v>
      </c>
      <c r="D33">
        <f>B$2*(1-EXP(-B$3*(Age+B$4)))</f>
        <v>125.83143092618859</v>
      </c>
      <c r="E33">
        <f>C$2*(1-EXP(-C$3*(Age+C$4)))</f>
        <v>92.295039560344051</v>
      </c>
      <c r="F33">
        <v>46.31</v>
      </c>
      <c r="G33">
        <v>15.71</v>
      </c>
      <c r="H33">
        <f>1/(1+EXP(-(A33-ahat)/ghat))</f>
        <v>0.99718790277559233</v>
      </c>
      <c r="I33">
        <v>1</v>
      </c>
      <c r="J33" s="40">
        <f t="shared" si="0"/>
        <v>0.9999999999998368</v>
      </c>
      <c r="K33">
        <v>0.42824499999999999</v>
      </c>
      <c r="L33">
        <v>0.56420599999999999</v>
      </c>
      <c r="M33" s="4">
        <f>(1/(1-s_3))*((1-s_3)/s_3)^(s_3)*EXP(1/s_2*s_3*(s_1-$D33))/(1+EXP(1/s_2*(s_1-$D33)))</f>
        <v>0.99929786765415352</v>
      </c>
      <c r="N33" s="4">
        <f t="shared" si="2"/>
        <v>0.41688282204356231</v>
      </c>
      <c r="O33" s="4">
        <f t="shared" si="3"/>
        <v>0.55773094822713976</v>
      </c>
      <c r="Q33">
        <v>1</v>
      </c>
      <c r="R33">
        <v>9.6480300000000005E-2</v>
      </c>
      <c r="S33" s="40">
        <f>1/(1+EXP(-LN(19)*(Age-$S$1)/($S$2-$S$1)))</f>
        <v>0.9999999999998368</v>
      </c>
      <c r="T33" s="40">
        <f t="shared" si="1"/>
        <v>0.90351970000000004</v>
      </c>
    </row>
    <row r="34" spans="1:20">
      <c r="A34">
        <v>23</v>
      </c>
      <c r="B34">
        <f>winf*(1-EXP(-k*(Age+to)))^b</f>
        <v>46.200126459138957</v>
      </c>
      <c r="C34">
        <f>winf*(1-EXP(-k*(Age+to)))^b</f>
        <v>16.685251024350396</v>
      </c>
      <c r="D34">
        <f>B$2*(1-EXP(-B$3*(Age+B$4)))</f>
        <v>127.74343844739712</v>
      </c>
      <c r="E34">
        <f>C$2*(1-EXP(-C$3*(Age+C$4)))</f>
        <v>93.287410990354857</v>
      </c>
      <c r="F34">
        <v>48.46</v>
      </c>
      <c r="G34">
        <v>16.7</v>
      </c>
      <c r="H34">
        <f>1/(1+EXP(-(A34-ahat)/ghat))</f>
        <v>0.99839807412349324</v>
      </c>
      <c r="I34">
        <v>1</v>
      </c>
      <c r="J34" s="40">
        <f t="shared" si="0"/>
        <v>0.99999999999997713</v>
      </c>
      <c r="K34">
        <v>0.42824499999999999</v>
      </c>
      <c r="L34">
        <v>0.56420599999999999</v>
      </c>
      <c r="M34" s="4">
        <f>(1/(1-s_3))*((1-s_3)/s_3)^(s_3)*EXP(1/s_2*s_3*(s_1-$D34))/(1+EXP(1/s_2*(s_1-$D34)))</f>
        <v>0.9992405888783128</v>
      </c>
      <c r="N34" s="4">
        <f t="shared" si="2"/>
        <v>0.41688282204356231</v>
      </c>
      <c r="O34" s="4">
        <f t="shared" si="3"/>
        <v>0.55773094822713976</v>
      </c>
      <c r="Q34">
        <v>1</v>
      </c>
      <c r="R34">
        <v>9.6480300000000005E-2</v>
      </c>
      <c r="S34" s="40">
        <f>1/(1+EXP(-LN(19)*(Age-$S$1)/($S$2-$S$1)))</f>
        <v>0.99999999999997713</v>
      </c>
      <c r="T34" s="40">
        <f t="shared" si="1"/>
        <v>0.90351970000000004</v>
      </c>
    </row>
    <row r="35" spans="1:20">
      <c r="A35">
        <v>24</v>
      </c>
      <c r="B35">
        <f>winf*(1-EXP(-k*(Age+to)))^b</f>
        <v>48.301563039053946</v>
      </c>
      <c r="C35">
        <f>winf*(1-EXP(-k*(Age+to)))^b</f>
        <v>17.212578910016166</v>
      </c>
      <c r="D35">
        <f>B$2*(1-EXP(-B$3*(Age+B$4)))</f>
        <v>129.50929933855022</v>
      </c>
      <c r="E35">
        <f>C$2*(1-EXP(-C$3*(Age+C$4)))</f>
        <v>94.187610854854853</v>
      </c>
      <c r="F35">
        <v>47.26</v>
      </c>
      <c r="G35">
        <v>18.239999999999998</v>
      </c>
      <c r="H35">
        <f>1/(1+EXP(-(A35-ahat)/ghat))</f>
        <v>0.99908793089153103</v>
      </c>
      <c r="I35">
        <v>1</v>
      </c>
      <c r="J35" s="40">
        <f t="shared" si="0"/>
        <v>0.99999999999999689</v>
      </c>
      <c r="K35">
        <v>0.42824499999999999</v>
      </c>
      <c r="L35">
        <v>0.56420599999999999</v>
      </c>
      <c r="M35" s="4">
        <f>(1/(1-s_3))*((1-s_3)/s_3)^(s_3)*EXP(1/s_2*s_3*(s_1-$D35))/(1+EXP(1/s_2*(s_1-$D35)))</f>
        <v>0.99918768554261295</v>
      </c>
      <c r="N35" s="4">
        <f t="shared" si="2"/>
        <v>0.41688282204356231</v>
      </c>
      <c r="O35" s="4">
        <f t="shared" si="3"/>
        <v>0.55773094822713976</v>
      </c>
      <c r="Q35">
        <v>1</v>
      </c>
      <c r="R35">
        <v>9.6480300000000005E-2</v>
      </c>
      <c r="S35" s="40">
        <f>1/(1+EXP(-LN(19)*(Age-$S$1)/($S$2-$S$1)))</f>
        <v>0.99999999999999689</v>
      </c>
      <c r="T35" s="40">
        <f t="shared" si="1"/>
        <v>0.90351970000000004</v>
      </c>
    </row>
    <row r="36" spans="1:20">
      <c r="A36">
        <v>25</v>
      </c>
      <c r="B36">
        <f>winf*(1-EXP(-k*(Age+to)))^b</f>
        <v>50.300239753226307</v>
      </c>
      <c r="C36">
        <f>winf*(1-EXP(-k*(Age+to)))^b</f>
        <v>17.700795488007191</v>
      </c>
      <c r="D36">
        <f>B$2*(1-EXP(-B$3*(Age+B$4)))</f>
        <v>131.14018449580794</v>
      </c>
      <c r="E36">
        <f>C$2*(1-EXP(-C$3*(Age+C$4)))</f>
        <v>95.004200058795334</v>
      </c>
      <c r="F36">
        <v>49.13</v>
      </c>
      <c r="G36">
        <v>18.62</v>
      </c>
      <c r="H36">
        <f>1/(1+EXP(-(A36-ahat)/ghat))</f>
        <v>0.99948086074716835</v>
      </c>
      <c r="I36">
        <v>1</v>
      </c>
      <c r="J36" s="40">
        <f t="shared" si="0"/>
        <v>0.99999999999999956</v>
      </c>
      <c r="K36">
        <v>0.42824499999999999</v>
      </c>
      <c r="L36">
        <v>0.56420599999999999</v>
      </c>
      <c r="M36" s="4">
        <f>(1/(1-s_3))*((1-s_3)/s_3)^(s_3)*EXP(1/s_2*s_3*(s_1-$D36))/(1+EXP(1/s_2*(s_1-$D36)))</f>
        <v>0.99913882560041234</v>
      </c>
      <c r="N36" s="4">
        <f t="shared" si="2"/>
        <v>0.41688282204356231</v>
      </c>
      <c r="O36" s="4">
        <f t="shared" si="3"/>
        <v>0.55773094822713976</v>
      </c>
      <c r="Q36">
        <v>1</v>
      </c>
      <c r="R36">
        <v>9.6480300000000005E-2</v>
      </c>
      <c r="S36" s="40">
        <f>1/(1+EXP(-LN(19)*(Age-$S$1)/($S$2-$S$1)))</f>
        <v>0.99999999999999956</v>
      </c>
      <c r="T36" s="40">
        <f t="shared" si="1"/>
        <v>0.90351970000000004</v>
      </c>
    </row>
    <row r="37" spans="1:20">
      <c r="A37">
        <v>26</v>
      </c>
      <c r="B37">
        <f>winf*(1-EXP(-k*(Age+to)))^b</f>
        <v>52.196276894532623</v>
      </c>
      <c r="C37">
        <f>winf*(1-EXP(-k*(Age+to)))^b</f>
        <v>18.151873327636146</v>
      </c>
      <c r="D37">
        <f>B$2*(1-EXP(-B$3*(Age+B$4)))</f>
        <v>132.64641095423903</v>
      </c>
      <c r="E37">
        <f>C$2*(1-EXP(-C$3*(Age+C$4)))</f>
        <v>95.744944369351913</v>
      </c>
      <c r="F37">
        <v>51</v>
      </c>
      <c r="G37">
        <v>19</v>
      </c>
      <c r="H37">
        <f>1/(1+EXP(-(A37-ahat)/ghat))</f>
        <v>0.99970456196151691</v>
      </c>
      <c r="I37">
        <v>1</v>
      </c>
      <c r="J37" s="40">
        <f t="shared" si="0"/>
        <v>1</v>
      </c>
      <c r="K37">
        <v>0.42824499999999999</v>
      </c>
      <c r="L37">
        <v>0.56420599999999999</v>
      </c>
      <c r="M37" s="4">
        <f>(1/(1-s_3))*((1-s_3)/s_3)^(s_3)*EXP(1/s_2*s_3*(s_1-$D37))/(1+EXP(1/s_2*(s_1-$D37)))</f>
        <v>0.999093700977435</v>
      </c>
      <c r="N37" s="4">
        <f t="shared" si="2"/>
        <v>0.41688282204356231</v>
      </c>
      <c r="O37" s="4">
        <f t="shared" si="3"/>
        <v>0.55773094822713976</v>
      </c>
      <c r="Q37">
        <v>1</v>
      </c>
      <c r="R37">
        <v>9.6480200000000002E-2</v>
      </c>
      <c r="S37" s="40">
        <f>1/(1+EXP(-LN(19)*(Age-$S$1)/($S$2-$S$1)))</f>
        <v>1</v>
      </c>
      <c r="T37" s="40">
        <f t="shared" si="1"/>
        <v>0.90351979999999998</v>
      </c>
    </row>
    <row r="38" spans="1:20">
      <c r="A38">
        <v>27</v>
      </c>
      <c r="B38">
        <f>winf*(1-EXP(-k*(Age+to)))^b</f>
        <v>53.990760279982894</v>
      </c>
      <c r="C38">
        <f>winf*(1-EXP(-k*(Age+to)))^b</f>
        <v>18.567873742055205</v>
      </c>
      <c r="D38">
        <f>B$2*(1-EXP(-B$3*(Age+B$4)))</f>
        <v>134.03750715373636</v>
      </c>
      <c r="E38">
        <f>C$2*(1-EXP(-C$3*(Age+C$4)))</f>
        <v>96.416888268406836</v>
      </c>
      <c r="F38">
        <v>52.87</v>
      </c>
      <c r="G38">
        <v>19.37</v>
      </c>
      <c r="H38">
        <f>1/(1+EXP(-(A38-ahat)/ghat))</f>
        <v>0.99983188476526252</v>
      </c>
      <c r="I38">
        <v>1</v>
      </c>
      <c r="J38" s="40">
        <f t="shared" si="0"/>
        <v>1</v>
      </c>
      <c r="K38">
        <v>0.42824499999999999</v>
      </c>
      <c r="L38">
        <v>0.56420599999999999</v>
      </c>
      <c r="M38" s="4">
        <f>(1/(1-s_3))*((1-s_3)/s_3)^(s_3)*EXP(1/s_2*s_3*(s_1-$D38))/(1+EXP(1/s_2*(s_1-$D38)))</f>
        <v>0.99905202652348235</v>
      </c>
      <c r="N38" s="4">
        <f t="shared" si="2"/>
        <v>0.41688282204356231</v>
      </c>
      <c r="O38" s="4">
        <f t="shared" si="3"/>
        <v>0.55773094822713976</v>
      </c>
      <c r="Q38">
        <v>1</v>
      </c>
      <c r="R38">
        <v>9.6480200000000002E-2</v>
      </c>
      <c r="S38" s="40">
        <f>1/(1+EXP(-LN(19)*(Age-$S$1)/($S$2-$S$1)))</f>
        <v>1</v>
      </c>
      <c r="T38" s="40">
        <f t="shared" si="1"/>
        <v>0.90351979999999998</v>
      </c>
    </row>
    <row r="39" spans="1:20">
      <c r="A39">
        <v>28</v>
      </c>
      <c r="B39">
        <f>winf*(1-EXP(-k*(Age+to)))^b</f>
        <v>55.685558123235282</v>
      </c>
      <c r="C39">
        <f>winf*(1-EXP(-k*(Age+to)))^b</f>
        <v>18.950895934958492</v>
      </c>
      <c r="D39">
        <f>B$2*(1-EXP(-B$3*(Age+B$4)))</f>
        <v>135.3222732162524</v>
      </c>
      <c r="E39">
        <f>C$2*(1-EXP(-C$3*(Age+C$4)))</f>
        <v>97.026421945604966</v>
      </c>
      <c r="F39">
        <v>54.74</v>
      </c>
      <c r="G39">
        <v>19.75</v>
      </c>
      <c r="H39">
        <f>1/(1+EXP(-(A39-ahat)/ghat))</f>
        <v>0.99990434142770734</v>
      </c>
      <c r="I39">
        <v>1</v>
      </c>
      <c r="J39" s="40">
        <f t="shared" si="0"/>
        <v>1</v>
      </c>
      <c r="K39">
        <v>0.42824499999999999</v>
      </c>
      <c r="L39">
        <v>0.56420599999999999</v>
      </c>
      <c r="M39" s="4">
        <f>(1/(1-s_3))*((1-s_3)/s_3)^(s_3)*EXP(1/s_2*s_3*(s_1-$D39))/(1+EXP(1/s_2*(s_1-$D39)))</f>
        <v>0.9990135386047555</v>
      </c>
      <c r="N39" s="4">
        <f t="shared" si="2"/>
        <v>0.41688282204356231</v>
      </c>
      <c r="O39" s="4">
        <f t="shared" si="3"/>
        <v>0.55773094822713976</v>
      </c>
      <c r="Q39">
        <v>1</v>
      </c>
      <c r="R39">
        <v>9.6480200000000002E-2</v>
      </c>
      <c r="S39" s="40">
        <f>1/(1+EXP(-LN(19)*(Age-$S$1)/($S$2-$S$1)))</f>
        <v>1</v>
      </c>
      <c r="T39" s="40">
        <f t="shared" si="1"/>
        <v>0.90351979999999998</v>
      </c>
    </row>
    <row r="40" spans="1:20">
      <c r="A40">
        <v>29</v>
      </c>
      <c r="B40">
        <f>winf*(1-EXP(-k*(Age+to)))^b</f>
        <v>57.28316090352758</v>
      </c>
      <c r="C40">
        <f>winf*(1-EXP(-k*(Age+to)))^b</f>
        <v>19.303037021960385</v>
      </c>
      <c r="D40">
        <f>B$2*(1-EXP(-B$3*(Age+B$4)))</f>
        <v>136.50883661567033</v>
      </c>
      <c r="E40">
        <f>C$2*(1-EXP(-C$3*(Age+C$4)))</f>
        <v>97.579342069087332</v>
      </c>
      <c r="F40">
        <v>56.61</v>
      </c>
      <c r="G40">
        <v>20.13</v>
      </c>
      <c r="H40">
        <f>1/(1+EXP(-(A40-ahat)/ghat))</f>
        <v>0.99994557140124207</v>
      </c>
      <c r="I40">
        <v>1</v>
      </c>
      <c r="J40" s="40">
        <f t="shared" si="0"/>
        <v>1</v>
      </c>
      <c r="K40">
        <v>0.42824499999999999</v>
      </c>
      <c r="L40">
        <v>0.56420599999999999</v>
      </c>
      <c r="M40" s="4">
        <f>(1/(1-s_3))*((1-s_3)/s_3)^(s_3)*EXP(1/s_2*s_3*(s_1-$D40))/(1+EXP(1/s_2*(s_1-$D40)))</f>
        <v>0.99897799361559858</v>
      </c>
      <c r="N40" s="4">
        <f t="shared" si="2"/>
        <v>0.41688282204356231</v>
      </c>
      <c r="O40" s="4">
        <f t="shared" si="3"/>
        <v>0.55773094822713976</v>
      </c>
      <c r="Q40">
        <v>1</v>
      </c>
      <c r="R40">
        <v>9.6480200000000002E-2</v>
      </c>
      <c r="S40" s="40">
        <f>1/(1+EXP(-LN(19)*(Age-$S$1)/($S$2-$S$1)))</f>
        <v>1</v>
      </c>
      <c r="T40" s="40">
        <f t="shared" si="1"/>
        <v>0.90351979999999998</v>
      </c>
    </row>
    <row r="41" spans="1:20">
      <c r="A41">
        <v>30</v>
      </c>
      <c r="B41">
        <f>winf*(1-EXP(-k*(Age+to)))^b</f>
        <v>58.786542613020231</v>
      </c>
      <c r="C41">
        <f>winf*(1-EXP(-k*(Age+to)))^b</f>
        <v>19.626361176490093</v>
      </c>
      <c r="D41">
        <f>B$2*(1-EXP(-B$3*(Age+B$4)))</f>
        <v>137.60470359248089</v>
      </c>
      <c r="E41">
        <f>C$2*(1-EXP(-C$3*(Age+C$4)))</f>
        <v>98.080906911832486</v>
      </c>
      <c r="F41">
        <v>58.48</v>
      </c>
      <c r="G41">
        <v>20.51</v>
      </c>
      <c r="H41">
        <f>1/(1+EXP(-(A41-ahat)/ghat))</f>
        <v>0.99996903132000892</v>
      </c>
      <c r="I41">
        <v>1</v>
      </c>
      <c r="J41" s="40">
        <f t="shared" si="0"/>
        <v>1</v>
      </c>
      <c r="K41">
        <v>0.42824499999999999</v>
      </c>
      <c r="L41">
        <v>0.56420599999999999</v>
      </c>
      <c r="M41" s="4">
        <f>(1/(1-s_3))*((1-s_3)/s_3)^(s_3)*EXP(1/s_2*s_3*(s_1-$D41))/(1+EXP(1/s_2*(s_1-$D41)))</f>
        <v>0.99894516652029119</v>
      </c>
      <c r="N41" s="4">
        <f t="shared" si="2"/>
        <v>0.41688282204356231</v>
      </c>
      <c r="O41" s="4">
        <f t="shared" si="3"/>
        <v>0.55773094822713976</v>
      </c>
      <c r="Q41">
        <v>1</v>
      </c>
      <c r="R41">
        <v>9.6480200000000002E-2</v>
      </c>
      <c r="S41" s="40">
        <f>1/(1+EXP(-LN(19)*(Age-$S$1)/($S$2-$S$1)))</f>
        <v>1</v>
      </c>
      <c r="T41" s="40">
        <f t="shared" si="1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2015-08-20T22:49:06Z</dcterms:modified>
</cp:coreProperties>
</file>