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102400" windowHeight="28260" tabRatio="623" activeTab="8"/>
  </bookViews>
  <sheets>
    <sheet name="SUMMARY" sheetId="6" r:id="rId1"/>
    <sheet name="Status Quo" sheetId="3" r:id="rId2"/>
    <sheet name="Excluders (1)" sheetId="7" r:id="rId3"/>
    <sheet name="Excluders (2)" sheetId="10" r:id="rId4"/>
    <sheet name="No Size Limit (1)" sheetId="8" r:id="rId5"/>
    <sheet name="No Size Limit (2)" sheetId="11" r:id="rId6"/>
    <sheet name="Reduce DMR (1)" sheetId="9" r:id="rId7"/>
    <sheet name="Reduce DMR (2)" sheetId="12" r:id="rId8"/>
    <sheet name="Proof of Concept" sheetId="1" r:id="rId9"/>
    <sheet name="Selectivities" sheetId="4" r:id="rId10"/>
    <sheet name="SAA" sheetId="5" r:id="rId11"/>
  </sheets>
  <definedNames>
    <definedName name="a">SAA!$B$8:$C$8</definedName>
    <definedName name="age" localSheetId="2">'Excluders (1)'!$K$3:$AI$3</definedName>
    <definedName name="age" localSheetId="3">'Excluders (2)'!$K$3:$AI$3</definedName>
    <definedName name="age" localSheetId="4">'No Size Limit (1)'!$K$3:$AI$3</definedName>
    <definedName name="age" localSheetId="5">'No Size Limit (2)'!$K$3:$AI$3</definedName>
    <definedName name="age" localSheetId="6">'Reduce DMR (1)'!$K$3:$AI$3</definedName>
    <definedName name="age" localSheetId="7">'Reduce DMR (2)'!$K$3:$AI$3</definedName>
    <definedName name="Age" localSheetId="10">SAA!$A$12:$A$41</definedName>
    <definedName name="Age" localSheetId="9">Selectivities!$E$1:$AH$1</definedName>
    <definedName name="age" localSheetId="1">'Status Quo'!$K$3:$AI$3</definedName>
    <definedName name="age">'Proof of Concept'!$K$3:$AI$3</definedName>
    <definedName name="ah" localSheetId="2">'Excluders (1)'!$G$18:$G$20</definedName>
    <definedName name="ah" localSheetId="3">'Excluders (2)'!$G$18:$G$20</definedName>
    <definedName name="ah" localSheetId="4">'No Size Limit (1)'!$G$18:$G$20</definedName>
    <definedName name="ah" localSheetId="5">'No Size Limit (2)'!$G$18:$G$20</definedName>
    <definedName name="ah" localSheetId="6">'Reduce DMR (1)'!$G$18:$G$20</definedName>
    <definedName name="ah" localSheetId="7">'Reduce DMR (2)'!$G$18:$G$20</definedName>
    <definedName name="ah" localSheetId="9">Selectivities!$A$13:$A$18</definedName>
    <definedName name="ah" localSheetId="1">'Status Quo'!$G$18:$G$20</definedName>
    <definedName name="ah">'Proof of Concept'!$G$18:$G$20</definedName>
    <definedName name="ahat">SAA!$H$1</definedName>
    <definedName name="avg_wt1" localSheetId="2">'Excluders (1)'!$B$60</definedName>
    <definedName name="avg_wt1" localSheetId="3">'Excluders (2)'!$B$60</definedName>
    <definedName name="avg_wt1" localSheetId="4">'No Size Limit (1)'!$B$60</definedName>
    <definedName name="avg_wt1" localSheetId="5">'No Size Limit (2)'!$B$60</definedName>
    <definedName name="avg_wt1" localSheetId="6">'Reduce DMR (1)'!$B$60</definedName>
    <definedName name="avg_wt1" localSheetId="7">'Reduce DMR (2)'!$B$60</definedName>
    <definedName name="avg_wt1">'Status Quo'!$B$60</definedName>
    <definedName name="avg_wt2" localSheetId="2">'Excluders (1)'!$B$61</definedName>
    <definedName name="avg_wt2" localSheetId="3">'Excluders (2)'!$B$61</definedName>
    <definedName name="avg_wt2" localSheetId="4">'No Size Limit (1)'!$B$61</definedName>
    <definedName name="avg_wt2" localSheetId="5">'No Size Limit (2)'!$B$61</definedName>
    <definedName name="avg_wt2" localSheetId="6">'Reduce DMR (1)'!$B$61</definedName>
    <definedName name="avg_wt2" localSheetId="7">'Reduce DMR (2)'!$B$61</definedName>
    <definedName name="avg_wt2">'Status Quo'!$B$61</definedName>
    <definedName name="avg_wt3" localSheetId="2">'Excluders (1)'!$B$62</definedName>
    <definedName name="avg_wt3" localSheetId="3">'Excluders (2)'!$B$62</definedName>
    <definedName name="avg_wt3" localSheetId="4">'No Size Limit (1)'!$B$62</definedName>
    <definedName name="avg_wt3" localSheetId="5">'No Size Limit (2)'!$B$62</definedName>
    <definedName name="avg_wt3" localSheetId="6">'Reduce DMR (1)'!$B$62</definedName>
    <definedName name="avg_wt3" localSheetId="7">'Reduce DMR (2)'!$B$62</definedName>
    <definedName name="avg_wt3">'Status Quo'!$B$62</definedName>
    <definedName name="b">SAA!$B$7:$C$7</definedName>
    <definedName name="Bo" localSheetId="2">'Excluders (1)'!$B$18</definedName>
    <definedName name="Bo" localSheetId="3">'Excluders (2)'!$B$18</definedName>
    <definedName name="Bo" localSheetId="4">'No Size Limit (1)'!$B$18</definedName>
    <definedName name="Bo" localSheetId="5">'No Size Limit (2)'!$B$18</definedName>
    <definedName name="Bo" localSheetId="6">'Reduce DMR (1)'!$B$18</definedName>
    <definedName name="Bo" localSheetId="7">'Reduce DMR (2)'!$B$18</definedName>
    <definedName name="Bo" localSheetId="1">'Status Quo'!$B$18</definedName>
    <definedName name="Bo">'Proof of Concept'!$B$18</definedName>
    <definedName name="daq21_" localSheetId="2">'Excluders (1)'!$K$38:$AI$38</definedName>
    <definedName name="daq21_" localSheetId="3">'Excluders (2)'!$K$38:$AI$38</definedName>
    <definedName name="daq21_" localSheetId="4">'No Size Limit (1)'!$K$38:$AI$38</definedName>
    <definedName name="daq21_" localSheetId="5">'No Size Limit (2)'!$K$38:$AI$38</definedName>
    <definedName name="daq21_" localSheetId="6">'Reduce DMR (1)'!$K$38:$AI$38</definedName>
    <definedName name="daq21_" localSheetId="7">'Reduce DMR (2)'!$K$38:$AI$38</definedName>
    <definedName name="daq21_" localSheetId="1">'Status Quo'!$K$38:$AI$38</definedName>
    <definedName name="daq21_">'Proof of Concept'!$K$38:$AI$38</definedName>
    <definedName name="dlz1_" localSheetId="2">'Excluders (1)'!$K$31:$AI$31</definedName>
    <definedName name="dlz1_" localSheetId="3">'Excluders (2)'!$K$31:$AI$31</definedName>
    <definedName name="dlz1_" localSheetId="4">'No Size Limit (1)'!$K$31:$AI$31</definedName>
    <definedName name="dlz1_" localSheetId="5">'No Size Limit (2)'!$K$31:$AI$31</definedName>
    <definedName name="dlz1_" localSheetId="6">'Reduce DMR (1)'!$K$31:$AI$31</definedName>
    <definedName name="dlz1_" localSheetId="7">'Reduce DMR (2)'!$K$31:$AI$31</definedName>
    <definedName name="dlz1_" localSheetId="1">'Status Quo'!$K$31:$AI$31</definedName>
    <definedName name="dlz1_">'Proof of Concept'!$K$31:$AI$31</definedName>
    <definedName name="dlz2_" localSheetId="2">'Excluders (1)'!$K$32:$AI$32</definedName>
    <definedName name="dlz2_" localSheetId="3">'Excluders (2)'!$K$32:$AI$32</definedName>
    <definedName name="dlz2_" localSheetId="4">'No Size Limit (1)'!$K$32:$AI$32</definedName>
    <definedName name="dlz2_" localSheetId="5">'No Size Limit (2)'!$K$32:$AI$32</definedName>
    <definedName name="dlz2_" localSheetId="6">'Reduce DMR (1)'!$K$32:$AI$32</definedName>
    <definedName name="dlz2_" localSheetId="7">'Reduce DMR (2)'!$K$32:$AI$32</definedName>
    <definedName name="dlz2_" localSheetId="1">'Status Quo'!$K$32:$AI$32</definedName>
    <definedName name="dlz2_">'Proof of Concept'!$K$32:$AI$32</definedName>
    <definedName name="dlz3_" localSheetId="2">'Excluders (1)'!$K$33:$AI$33</definedName>
    <definedName name="dlz3_" localSheetId="3">'Excluders (2)'!$K$33:$AI$33</definedName>
    <definedName name="dlz3_" localSheetId="4">'No Size Limit (1)'!$K$33:$AI$33</definedName>
    <definedName name="dlz3_" localSheetId="5">'No Size Limit (2)'!$K$33:$AI$33</definedName>
    <definedName name="dlz3_" localSheetId="6">'Reduce DMR (1)'!$K$33:$AI$33</definedName>
    <definedName name="dlz3_" localSheetId="7">'Reduce DMR (2)'!$K$33:$AI$33</definedName>
    <definedName name="dlz3_" localSheetId="1">'Status Quo'!$K$33:$AI$33</definedName>
    <definedName name="dlz3_">'Proof of Concept'!$K$33:$AI$33</definedName>
    <definedName name="dmr" localSheetId="2">'Excluders (1)'!$F$18:$F$20</definedName>
    <definedName name="dmr" localSheetId="3">'Excluders (2)'!$F$18:$F$20</definedName>
    <definedName name="dmr" localSheetId="4">'No Size Limit (1)'!$F$18:$F$20</definedName>
    <definedName name="dmr" localSheetId="5">'No Size Limit (2)'!$F$18:$F$20</definedName>
    <definedName name="dmr" localSheetId="6">'Reduce DMR (1)'!$F$18:$F$20</definedName>
    <definedName name="dmr" localSheetId="7">'Reduce DMR (2)'!$F$18:$F$20</definedName>
    <definedName name="dmr" localSheetId="1">'Status Quo'!$F$18:$F$20</definedName>
    <definedName name="dmr">'Proof of Concept'!$F$18:$F$20</definedName>
    <definedName name="dphif" localSheetId="2">'Excluders (1)'!$G$31:$G$33</definedName>
    <definedName name="dphif" localSheetId="3">'Excluders (2)'!$G$31:$G$33</definedName>
    <definedName name="dphif" localSheetId="4">'No Size Limit (1)'!$G$31:$G$33</definedName>
    <definedName name="dphif" localSheetId="5">'No Size Limit (2)'!$G$31:$G$33</definedName>
    <definedName name="dphif" localSheetId="8">'Proof of Concept'!$G$31:$G$33</definedName>
    <definedName name="dphif" localSheetId="6">'Reduce DMR (1)'!$G$31:$G$33</definedName>
    <definedName name="dphif" localSheetId="7">'Reduce DMR (2)'!$G$31:$G$33</definedName>
    <definedName name="dphif" localSheetId="1">'Status Quo'!$G$31:$G$33</definedName>
    <definedName name="dqa1_" localSheetId="2">'Excluders (1)'!$K$35:$AI$35</definedName>
    <definedName name="dqa1_" localSheetId="3">'Excluders (2)'!$K$35:$AI$35</definedName>
    <definedName name="dqa1_" localSheetId="4">'No Size Limit (1)'!$K$35:$AI$35</definedName>
    <definedName name="dqa1_" localSheetId="5">'No Size Limit (2)'!$K$35:$AI$35</definedName>
    <definedName name="dqa1_" localSheetId="6">'Reduce DMR (1)'!$K$35:$AI$35</definedName>
    <definedName name="dqa1_" localSheetId="7">'Reduce DMR (2)'!$K$35:$AI$35</definedName>
    <definedName name="dqa1_" localSheetId="1">'Status Quo'!$K$35:$AI$35</definedName>
    <definedName name="dqa1_">'Proof of Concept'!$K$35:$AI$35</definedName>
    <definedName name="dqa11_" localSheetId="2">'Excluders (1)'!$K$35:$AI$35</definedName>
    <definedName name="dqa11_" localSheetId="3">'Excluders (2)'!$K$35:$AI$35</definedName>
    <definedName name="dqa11_" localSheetId="4">'No Size Limit (1)'!$K$35:$AI$35</definedName>
    <definedName name="dqa11_" localSheetId="5">'No Size Limit (2)'!$K$35:$AI$35</definedName>
    <definedName name="dqa11_" localSheetId="6">'Reduce DMR (1)'!$K$35:$AI$35</definedName>
    <definedName name="dqa11_" localSheetId="7">'Reduce DMR (2)'!$K$35:$AI$35</definedName>
    <definedName name="dqa11_" localSheetId="1">'Status Quo'!$K$35:$AI$35</definedName>
    <definedName name="dqa11_">'Proof of Concept'!$K$35:$AI$35</definedName>
    <definedName name="dqa12_" localSheetId="2">'Excluders (1)'!$K$40:$AI$40</definedName>
    <definedName name="dqa12_" localSheetId="3">'Excluders (2)'!$K$40:$AI$40</definedName>
    <definedName name="dqa12_" localSheetId="4">'No Size Limit (1)'!$K$40:$AI$40</definedName>
    <definedName name="dqa12_" localSheetId="5">'No Size Limit (2)'!$K$40:$AI$40</definedName>
    <definedName name="dqa12_" localSheetId="6">'Reduce DMR (1)'!$K$40:$AI$40</definedName>
    <definedName name="dqa12_" localSheetId="7">'Reduce DMR (2)'!$K$40:$AI$40</definedName>
    <definedName name="dqa12_" localSheetId="1">'Status Quo'!$K$40:$AI$40</definedName>
    <definedName name="dqa12_">'Proof of Concept'!$K$40:$AI$40</definedName>
    <definedName name="dqa13_" localSheetId="2">'Excluders (1)'!$K$42:$AI$42</definedName>
    <definedName name="dqa13_" localSheetId="3">'Excluders (2)'!$K$42:$AI$42</definedName>
    <definedName name="dqa13_" localSheetId="4">'No Size Limit (1)'!$K$42:$AI$42</definedName>
    <definedName name="dqa13_" localSheetId="5">'No Size Limit (2)'!$K$42:$AI$42</definedName>
    <definedName name="dqa13_" localSheetId="6">'Reduce DMR (1)'!$K$42:$AI$42</definedName>
    <definedName name="dqa13_" localSheetId="7">'Reduce DMR (2)'!$K$42:$AI$42</definedName>
    <definedName name="dqa13_" localSheetId="1">'Status Quo'!$K$42:$AI$42</definedName>
    <definedName name="dqa13_">'Proof of Concept'!$K$42:$AI$42</definedName>
    <definedName name="dqa2_" localSheetId="2">'Excluders (1)'!$K$36:$AI$36</definedName>
    <definedName name="dqa2_" localSheetId="3">'Excluders (2)'!$K$36:$AI$36</definedName>
    <definedName name="dqa2_" localSheetId="4">'No Size Limit (1)'!$K$36:$AI$36</definedName>
    <definedName name="dqa2_" localSheetId="5">'No Size Limit (2)'!$K$36:$AI$36</definedName>
    <definedName name="dqa2_" localSheetId="6">'Reduce DMR (1)'!$K$36:$AI$36</definedName>
    <definedName name="dqa2_" localSheetId="7">'Reduce DMR (2)'!$K$36:$AI$36</definedName>
    <definedName name="dqa2_" localSheetId="1">'Status Quo'!$K$36:$AI$36</definedName>
    <definedName name="dqa2_">'Proof of Concept'!$K$36:$AI$36</definedName>
    <definedName name="dqa21_" localSheetId="2">'Excluders (1)'!$K$38:$AI$38</definedName>
    <definedName name="dqa21_" localSheetId="3">'Excluders (2)'!$K$38:$AI$38</definedName>
    <definedName name="dqa21_" localSheetId="4">'No Size Limit (1)'!$K$38:$AI$38</definedName>
    <definedName name="dqa21_" localSheetId="5">'No Size Limit (2)'!$K$38:$AI$38</definedName>
    <definedName name="dqa21_" localSheetId="6">'Reduce DMR (1)'!$K$38:$AI$38</definedName>
    <definedName name="dqa21_" localSheetId="7">'Reduce DMR (2)'!$K$38:$AI$38</definedName>
    <definedName name="dqa21_" localSheetId="1">'Status Quo'!$K$38:$AI$38</definedName>
    <definedName name="dqa21_">'Proof of Concept'!$K$38:$AI$38</definedName>
    <definedName name="dqa22_" localSheetId="2">'Excluders (1)'!$K$36:$AI$36</definedName>
    <definedName name="dqa22_" localSheetId="3">'Excluders (2)'!$K$36:$AI$36</definedName>
    <definedName name="dqa22_" localSheetId="4">'No Size Limit (1)'!$K$36:$AI$36</definedName>
    <definedName name="dqa22_" localSheetId="5">'No Size Limit (2)'!$K$36:$AI$36</definedName>
    <definedName name="dqa22_" localSheetId="6">'Reduce DMR (1)'!$K$36:$AI$36</definedName>
    <definedName name="dqa22_" localSheetId="7">'Reduce DMR (2)'!$K$36:$AI$36</definedName>
    <definedName name="dqa22_" localSheetId="1">'Status Quo'!$K$36:$AI$36</definedName>
    <definedName name="dqa22_">'Proof of Concept'!$K$36:$AI$36</definedName>
    <definedName name="dqa23_" localSheetId="2">'Excluders (1)'!$K$43:$AI$43</definedName>
    <definedName name="dqa23_" localSheetId="3">'Excluders (2)'!$K$43:$AI$43</definedName>
    <definedName name="dqa23_" localSheetId="4">'No Size Limit (1)'!$K$43:$AI$43</definedName>
    <definedName name="dqa23_" localSheetId="5">'No Size Limit (2)'!$K$43:$AI$43</definedName>
    <definedName name="dqa23_" localSheetId="6">'Reduce DMR (1)'!$K$43:$AI$43</definedName>
    <definedName name="dqa23_" localSheetId="7">'Reduce DMR (2)'!$K$43:$AI$43</definedName>
    <definedName name="dqa23_" localSheetId="1">'Status Quo'!$K$43:$AI$43</definedName>
    <definedName name="dqa23_">'Proof of Concept'!$K$43:$AI$43</definedName>
    <definedName name="dqa3_" localSheetId="2">'Excluders (1)'!$K$37:$AI$37</definedName>
    <definedName name="dqa3_" localSheetId="3">'Excluders (2)'!$K$37:$AI$37</definedName>
    <definedName name="dqa3_" localSheetId="4">'No Size Limit (1)'!$K$37:$AI$37</definedName>
    <definedName name="dqa3_" localSheetId="5">'No Size Limit (2)'!$K$37:$AI$37</definedName>
    <definedName name="dqa3_" localSheetId="6">'Reduce DMR (1)'!$K$37:$AI$37</definedName>
    <definedName name="dqa3_" localSheetId="7">'Reduce DMR (2)'!$K$37:$AI$37</definedName>
    <definedName name="dqa3_" localSheetId="1">'Status Quo'!$K$37:$AI$37</definedName>
    <definedName name="dqa3_">'Proof of Concept'!$K$37:$AI$37</definedName>
    <definedName name="dqa31_" localSheetId="2">'Excluders (1)'!$K$39:$AI$39</definedName>
    <definedName name="dqa31_" localSheetId="3">'Excluders (2)'!$K$39:$AI$39</definedName>
    <definedName name="dqa31_" localSheetId="4">'No Size Limit (1)'!$K$39:$AI$39</definedName>
    <definedName name="dqa31_" localSheetId="5">'No Size Limit (2)'!$K$39:$AI$39</definedName>
    <definedName name="dqa31_" localSheetId="6">'Reduce DMR (1)'!$K$39:$AI$39</definedName>
    <definedName name="dqa31_" localSheetId="7">'Reduce DMR (2)'!$K$39:$AI$39</definedName>
    <definedName name="dqa31_" localSheetId="1">'Status Quo'!$K$39:$AI$39</definedName>
    <definedName name="dqa31_">'Proof of Concept'!$K$39:$AI$39</definedName>
    <definedName name="dqa32_" localSheetId="2">'Excluders (1)'!$K$41:$AI$41</definedName>
    <definedName name="dqa32_" localSheetId="3">'Excluders (2)'!$K$41:$AI$41</definedName>
    <definedName name="dqa32_" localSheetId="4">'No Size Limit (1)'!$K$41:$AI$41</definedName>
    <definedName name="dqa32_" localSheetId="5">'No Size Limit (2)'!$K$41:$AI$41</definedName>
    <definedName name="dqa32_" localSheetId="6">'Reduce DMR (1)'!$K$41:$AI$41</definedName>
    <definedName name="dqa32_" localSheetId="7">'Reduce DMR (2)'!$K$41:$AI$41</definedName>
    <definedName name="dqa32_" localSheetId="1">'Status Quo'!$K$41:$AI$41</definedName>
    <definedName name="dqa32_">'Proof of Concept'!$K$41:$AI$41</definedName>
    <definedName name="dqa33_" localSheetId="2">'Excluders (1)'!$K$37:$AI$37</definedName>
    <definedName name="dqa33_" localSheetId="3">'Excluders (2)'!$K$37:$AI$37</definedName>
    <definedName name="dqa33_" localSheetId="4">'No Size Limit (1)'!$K$37:$AI$37</definedName>
    <definedName name="dqa33_" localSheetId="5">'No Size Limit (2)'!$K$37:$AI$37</definedName>
    <definedName name="dqa33_" localSheetId="6">'Reduce DMR (1)'!$K$37:$AI$37</definedName>
    <definedName name="dqa33_" localSheetId="7">'Reduce DMR (2)'!$K$37:$AI$37</definedName>
    <definedName name="dqa33_" localSheetId="1">'Status Quo'!$K$37:$AI$37</definedName>
    <definedName name="dqa33_">'Proof of Concept'!$K$37:$AI$37</definedName>
    <definedName name="dre" localSheetId="2">'Excluders (1)'!$H$31:$H$33</definedName>
    <definedName name="dre" localSheetId="3">'Excluders (2)'!$H$31:$H$33</definedName>
    <definedName name="dre" localSheetId="4">'No Size Limit (1)'!$H$31:$H$33</definedName>
    <definedName name="dre" localSheetId="5">'No Size Limit (2)'!$H$31:$H$33</definedName>
    <definedName name="dre" localSheetId="6">'Reduce DMR (1)'!$H$31:$H$33</definedName>
    <definedName name="dre" localSheetId="7">'Reduce DMR (2)'!$H$31:$H$33</definedName>
    <definedName name="dre" localSheetId="1">'Status Quo'!$H$31:$H$33</definedName>
    <definedName name="dre">'Proof of Concept'!$H$31:$H$33</definedName>
    <definedName name="f1_" localSheetId="2">'Excluders (1)'!$B$27</definedName>
    <definedName name="f1_" localSheetId="3">'Excluders (2)'!$B$27</definedName>
    <definedName name="f1_" localSheetId="4">'No Size Limit (1)'!$B$27</definedName>
    <definedName name="f1_" localSheetId="5">'No Size Limit (2)'!$B$27</definedName>
    <definedName name="f1_" localSheetId="6">'Reduce DMR (1)'!$B$27</definedName>
    <definedName name="f1_" localSheetId="7">'Reduce DMR (2)'!$B$27</definedName>
    <definedName name="f1_" localSheetId="1">'Status Quo'!$B$27</definedName>
    <definedName name="f1_">'Proof of Concept'!$B$27</definedName>
    <definedName name="f2_" localSheetId="2">'Excluders (1)'!$B$28</definedName>
    <definedName name="f2_" localSheetId="3">'Excluders (2)'!$B$28</definedName>
    <definedName name="f2_" localSheetId="4">'No Size Limit (1)'!$B$28</definedName>
    <definedName name="f2_" localSheetId="5">'No Size Limit (2)'!$B$28</definedName>
    <definedName name="f2_" localSheetId="6">'Reduce DMR (1)'!$B$28</definedName>
    <definedName name="f2_" localSheetId="7">'Reduce DMR (2)'!$B$28</definedName>
    <definedName name="f2_" localSheetId="1">'Status Quo'!$B$28</definedName>
    <definedName name="f2_">'Proof of Concept'!$B$28</definedName>
    <definedName name="f3_" localSheetId="2">'Excluders (1)'!$B$29</definedName>
    <definedName name="f3_" localSheetId="3">'Excluders (2)'!$B$29</definedName>
    <definedName name="f3_" localSheetId="4">'No Size Limit (1)'!$B$29</definedName>
    <definedName name="f3_" localSheetId="5">'No Size Limit (2)'!$B$29</definedName>
    <definedName name="f3_" localSheetId="6">'Reduce DMR (1)'!$B$29</definedName>
    <definedName name="f3_" localSheetId="7">'Reduce DMR (2)'!$B$29</definedName>
    <definedName name="f3_" localSheetId="1">'Status Quo'!$B$29</definedName>
    <definedName name="f3_">'Proof of Concept'!$B$29</definedName>
    <definedName name="fbar" localSheetId="2">'Excluders (1)'!$B$30</definedName>
    <definedName name="fbar" localSheetId="3">'Excluders (2)'!$B$30</definedName>
    <definedName name="fbar" localSheetId="4">'No Size Limit (1)'!$B$30</definedName>
    <definedName name="fbar" localSheetId="5">'No Size Limit (2)'!$B$30</definedName>
    <definedName name="fbar" localSheetId="6">'Reduce DMR (1)'!$B$30</definedName>
    <definedName name="fbar" localSheetId="7">'Reduce DMR (2)'!$B$30</definedName>
    <definedName name="fbar" localSheetId="1">'Status Quo'!$B$30</definedName>
    <definedName name="fbar">'Proof of Concept'!$B$30</definedName>
    <definedName name="Female">SAA!$B$12:$B$41</definedName>
    <definedName name="flt1_" localSheetId="2">'Excluders (1)'!$K$18:$AI$18</definedName>
    <definedName name="flt1_" localSheetId="3">'Excluders (2)'!$K$18:$AI$18</definedName>
    <definedName name="flt1_" localSheetId="4">'No Size Limit (1)'!$K$18:$AI$18</definedName>
    <definedName name="flt1_" localSheetId="5">'No Size Limit (2)'!$K$18:$AI$18</definedName>
    <definedName name="flt1_" localSheetId="6">'Reduce DMR (1)'!$K$18:$AI$18</definedName>
    <definedName name="flt1_" localSheetId="7">'Reduce DMR (2)'!$K$18:$AI$18</definedName>
    <definedName name="flt1_" localSheetId="1">'Status Quo'!$K$18:$AI$18</definedName>
    <definedName name="flt1_">'Proof of Concept'!$K$18:$AI$18</definedName>
    <definedName name="flt2_" localSheetId="2">'Excluders (1)'!$K$19:$AI$19</definedName>
    <definedName name="flt2_" localSheetId="3">'Excluders (2)'!$K$19:$AI$19</definedName>
    <definedName name="flt2_" localSheetId="4">'No Size Limit (1)'!$K$19:$AI$19</definedName>
    <definedName name="flt2_" localSheetId="5">'No Size Limit (2)'!$K$19:$AI$19</definedName>
    <definedName name="flt2_" localSheetId="6">'Reduce DMR (1)'!$K$19:$AI$19</definedName>
    <definedName name="flt2_" localSheetId="7">'Reduce DMR (2)'!$K$19:$AI$19</definedName>
    <definedName name="flt2_" localSheetId="1">'Status Quo'!$K$19:$AI$19</definedName>
    <definedName name="flt2_">'Proof of Concept'!$K$19:$AI$19</definedName>
    <definedName name="flt3_" localSheetId="2">'Excluders (1)'!$K$20:$AI$20</definedName>
    <definedName name="flt3_" localSheetId="3">'Excluders (2)'!$K$20:$AI$20</definedName>
    <definedName name="flt3_" localSheetId="4">'No Size Limit (1)'!$K$20:$AI$20</definedName>
    <definedName name="flt3_" localSheetId="5">'No Size Limit (2)'!$K$20:$AI$20</definedName>
    <definedName name="flt3_" localSheetId="6">'Reduce DMR (1)'!$K$20:$AI$20</definedName>
    <definedName name="flt3_" localSheetId="7">'Reduce DMR (2)'!$K$20:$AI$20</definedName>
    <definedName name="flt3_" localSheetId="1">'Status Quo'!$K$20:$AI$20</definedName>
    <definedName name="flt3_">'Proof of Concept'!$K$20:$AI$20</definedName>
    <definedName name="ftotal" localSheetId="2">'Excluders (1)'!$B$31</definedName>
    <definedName name="ftotal" localSheetId="3">'Excluders (2)'!$B$31</definedName>
    <definedName name="ftotal" localSheetId="4">'No Size Limit (1)'!$B$31</definedName>
    <definedName name="ftotal" localSheetId="5">'No Size Limit (2)'!$B$31</definedName>
    <definedName name="ftotal" localSheetId="6">'Reduce DMR (1)'!$B$31</definedName>
    <definedName name="ftotal" localSheetId="7">'Reduce DMR (2)'!$B$31</definedName>
    <definedName name="ftotal" localSheetId="1">'Status Quo'!$B$31</definedName>
    <definedName name="ftotal">#REF!</definedName>
    <definedName name="g" localSheetId="2">'Excluders (1)'!$I$18:$I$20</definedName>
    <definedName name="g" localSheetId="3">'Excluders (2)'!$I$18:$I$20</definedName>
    <definedName name="g" localSheetId="4">'No Size Limit (1)'!$I$18:$I$20</definedName>
    <definedName name="g" localSheetId="5">'No Size Limit (2)'!$I$18:$I$20</definedName>
    <definedName name="g" localSheetId="6">'Reduce DMR (1)'!$I$18:$I$20</definedName>
    <definedName name="g" localSheetId="7">'Reduce DMR (2)'!$I$18:$I$20</definedName>
    <definedName name="g" localSheetId="9">Selectivities!$C$13:$C$18</definedName>
    <definedName name="g" localSheetId="1">'Status Quo'!$I$18:$I$20</definedName>
    <definedName name="g">'Proof of Concept'!$I$18:$I$20</definedName>
    <definedName name="gamma" localSheetId="2">'Excluders (1)'!$I$18:$I$20</definedName>
    <definedName name="gamma" localSheetId="3">'Excluders (2)'!$I$18:$I$20</definedName>
    <definedName name="gamma" localSheetId="4">'No Size Limit (1)'!$I$18:$I$20</definedName>
    <definedName name="gamma" localSheetId="5">'No Size Limit (2)'!$I$18:$I$20</definedName>
    <definedName name="gamma" localSheetId="6">'Reduce DMR (1)'!$I$18:$I$20</definedName>
    <definedName name="gamma" localSheetId="7">'Reduce DMR (2)'!$I$18:$I$20</definedName>
    <definedName name="gamma" localSheetId="1">'Status Quo'!$I$18:$I$20</definedName>
    <definedName name="gamma">'Proof of Concept'!$I$18:$I$20</definedName>
    <definedName name="gh" localSheetId="2">'Excluders (1)'!$H$18:$H$20</definedName>
    <definedName name="gh" localSheetId="3">'Excluders (2)'!$H$18:$H$20</definedName>
    <definedName name="gh" localSheetId="4">'No Size Limit (1)'!$H$18:$H$20</definedName>
    <definedName name="gh" localSheetId="5">'No Size Limit (2)'!$H$18:$H$20</definedName>
    <definedName name="gh" localSheetId="6">'Reduce DMR (1)'!$H$18:$H$20</definedName>
    <definedName name="gh" localSheetId="7">'Reduce DMR (2)'!$H$18:$H$20</definedName>
    <definedName name="gh" localSheetId="9">Selectivities!$B$13:$B$18</definedName>
    <definedName name="gh" localSheetId="1">'Status Quo'!$H$18:$H$20</definedName>
    <definedName name="gh">'Proof of Concept'!$H$18:$H$20</definedName>
    <definedName name="ghat">SAA!$H$2</definedName>
    <definedName name="h">SAA!$C$13:$C$18</definedName>
    <definedName name="k">SAA!$B$3:$C$3</definedName>
    <definedName name="len" localSheetId="2">'Excluders (1)'!$K$4:$AI$4</definedName>
    <definedName name="len" localSheetId="3">'Excluders (2)'!$K$4:$AI$4</definedName>
    <definedName name="len" localSheetId="4">'No Size Limit (1)'!$K$4:$AI$4</definedName>
    <definedName name="len" localSheetId="5">'No Size Limit (2)'!$K$4:$AI$4</definedName>
    <definedName name="len" localSheetId="6">'Reduce DMR (1)'!$K$4:$AI$4</definedName>
    <definedName name="len" localSheetId="7">'Reduce DMR (2)'!$K$4:$AI$4</definedName>
    <definedName name="Len" localSheetId="9">Selectivities!$E$2:$AH$2</definedName>
    <definedName name="len" localSheetId="1">'Status Quo'!$K$4:$AI$4</definedName>
    <definedName name="len">'Proof of Concept'!$K$4:$AI$4</definedName>
    <definedName name="linf" localSheetId="2">'Excluders (1)'!$B$22</definedName>
    <definedName name="linf" localSheetId="3">'Excluders (2)'!$B$22</definedName>
    <definedName name="linf" localSheetId="4">'No Size Limit (1)'!$B$22</definedName>
    <definedName name="linf" localSheetId="5">'No Size Limit (2)'!$B$22</definedName>
    <definedName name="linf" localSheetId="6">'Reduce DMR (1)'!$B$22</definedName>
    <definedName name="linf" localSheetId="7">'Reduce DMR (2)'!$B$22</definedName>
    <definedName name="linf" localSheetId="10">SAA!$B$2:$C$2</definedName>
    <definedName name="linf" localSheetId="1">'Status Quo'!$B$22</definedName>
    <definedName name="linf">'Proof of Concept'!$B$22</definedName>
    <definedName name="lx" localSheetId="2">'Excluders (1)'!$K$6:$AI$6</definedName>
    <definedName name="lx" localSheetId="3">'Excluders (2)'!$K$6:$AI$6</definedName>
    <definedName name="lx" localSheetId="4">'No Size Limit (1)'!$K$6:$AI$6</definedName>
    <definedName name="lx" localSheetId="5">'No Size Limit (2)'!$K$6:$AI$6</definedName>
    <definedName name="lx" localSheetId="6">'Reduce DMR (1)'!$K$6:$AI$6</definedName>
    <definedName name="lx" localSheetId="7">'Reduce DMR (2)'!$K$6:$AI$6</definedName>
    <definedName name="lx" localSheetId="1">'Status Quo'!$K$6:$AI$6</definedName>
    <definedName name="lx">'Proof of Concept'!$K$6:$AI$6</definedName>
    <definedName name="lz" localSheetId="2">'Excluders (1)'!$K$7:$AI$7</definedName>
    <definedName name="lz" localSheetId="3">'Excluders (2)'!$K$7:$AI$7</definedName>
    <definedName name="lz" localSheetId="4">'No Size Limit (1)'!$K$7:$AI$7</definedName>
    <definedName name="lz" localSheetId="5">'No Size Limit (2)'!$K$7:$AI$7</definedName>
    <definedName name="lz" localSheetId="6">'Reduce DMR (1)'!$K$7:$AI$7</definedName>
    <definedName name="lz" localSheetId="7">'Reduce DMR (2)'!$K$7:$AI$7</definedName>
    <definedName name="lz" localSheetId="1">'Status Quo'!$K$7:$AI$7</definedName>
    <definedName name="lz">'Proof of Concept'!$K$7:$AI$7</definedName>
    <definedName name="M" localSheetId="2">'Excluders (1)'!$B$20</definedName>
    <definedName name="M" localSheetId="3">'Excluders (2)'!$B$20</definedName>
    <definedName name="M" localSheetId="4">'No Size Limit (1)'!$B$20</definedName>
    <definedName name="M" localSheetId="5">'No Size Limit (2)'!$B$20</definedName>
    <definedName name="M" localSheetId="6">'Reduce DMR (1)'!$B$20</definedName>
    <definedName name="M" localSheetId="7">'Reduce DMR (2)'!$B$20</definedName>
    <definedName name="M" localSheetId="1">'Status Quo'!$B$20</definedName>
    <definedName name="M">'Proof of Concept'!$B$20</definedName>
    <definedName name="ma" localSheetId="2">'Excluders (1)'!$K$9:$AI$9</definedName>
    <definedName name="ma" localSheetId="3">'Excluders (2)'!$K$9:$AI$9</definedName>
    <definedName name="ma" localSheetId="4">'No Size Limit (1)'!$K$9:$AI$9</definedName>
    <definedName name="ma" localSheetId="5">'No Size Limit (2)'!$K$9:$AI$9</definedName>
    <definedName name="ma" localSheetId="6">'Reduce DMR (1)'!$K$9:$AI$9</definedName>
    <definedName name="ma" localSheetId="7">'Reduce DMR (2)'!$K$9:$AI$9</definedName>
    <definedName name="ma" localSheetId="1">'Status Quo'!$K$9:$AI$9</definedName>
    <definedName name="ma">'Proof of Concept'!$K$9:$AI$9</definedName>
    <definedName name="Male">SAA!$C$12:$C$41</definedName>
    <definedName name="Male_wa">SAA!$H$5:$AK$5</definedName>
    <definedName name="mpr1_" localSheetId="2">'Excluders (1)'!$B$56</definedName>
    <definedName name="mpr1_" localSheetId="3">'Excluders (2)'!$B$56</definedName>
    <definedName name="mpr1_" localSheetId="4">'No Size Limit (1)'!$B$56</definedName>
    <definedName name="mpr1_" localSheetId="5">'No Size Limit (2)'!$B$56</definedName>
    <definedName name="mpr1_" localSheetId="6">'Reduce DMR (1)'!$B$56</definedName>
    <definedName name="mpr1_" localSheetId="7">'Reduce DMR (2)'!$B$56</definedName>
    <definedName name="mpr1_" localSheetId="1">'Status Quo'!$B$56</definedName>
    <definedName name="mpr1_">'Proof of Concept'!$B$53</definedName>
    <definedName name="mpr2_" localSheetId="2">'Excluders (1)'!$B$57</definedName>
    <definedName name="mpr2_" localSheetId="3">'Excluders (2)'!$B$57</definedName>
    <definedName name="mpr2_" localSheetId="4">'No Size Limit (1)'!$B$57</definedName>
    <definedName name="mpr2_" localSheetId="5">'No Size Limit (2)'!$B$57</definedName>
    <definedName name="mpr2_" localSheetId="6">'Reduce DMR (1)'!$B$57</definedName>
    <definedName name="mpr2_" localSheetId="7">'Reduce DMR (2)'!$B$57</definedName>
    <definedName name="mpr2_" localSheetId="1">'Status Quo'!$B$57</definedName>
    <definedName name="mpr2_">'Proof of Concept'!$B$54</definedName>
    <definedName name="mpr3_" localSheetId="2">'Excluders (1)'!$B$58</definedName>
    <definedName name="mpr3_" localSheetId="3">'Excluders (2)'!$B$58</definedName>
    <definedName name="mpr3_" localSheetId="4">'No Size Limit (1)'!$B$58</definedName>
    <definedName name="mpr3_" localSheetId="5">'No Size Limit (2)'!$B$58</definedName>
    <definedName name="mpr3_" localSheetId="6">'Reduce DMR (1)'!$B$58</definedName>
    <definedName name="mpr3_" localSheetId="7">'Reduce DMR (2)'!$B$58</definedName>
    <definedName name="mpr3_" localSheetId="1">'Status Quo'!$B$58</definedName>
    <definedName name="mpr3_">'Proof of Concept'!$B$55</definedName>
    <definedName name="oa" localSheetId="2">'Excluders (1)'!$K$11:$AI$11</definedName>
    <definedName name="oa" localSheetId="3">'Excluders (2)'!$K$11:$AI$11</definedName>
    <definedName name="oa" localSheetId="4">'No Size Limit (1)'!$K$11:$AI$11</definedName>
    <definedName name="oa" localSheetId="5">'No Size Limit (2)'!$K$11:$AI$11</definedName>
    <definedName name="oa" localSheetId="6">'Reduce DMR (1)'!$K$11:$AI$11</definedName>
    <definedName name="oa" localSheetId="7">'Reduce DMR (2)'!$K$11:$AI$11</definedName>
    <definedName name="oa" localSheetId="1">'Status Quo'!$K$11:$AI$11</definedName>
    <definedName name="oa">'Proof of Concept'!$K$11:$AI$11</definedName>
    <definedName name="phi_q1" localSheetId="2">'Excluders (1)'!$B$39</definedName>
    <definedName name="phi_q1" localSheetId="3">'Excluders (2)'!$B$39</definedName>
    <definedName name="phi_q1" localSheetId="4">'No Size Limit (1)'!$B$39</definedName>
    <definedName name="phi_q1" localSheetId="5">'No Size Limit (2)'!$B$39</definedName>
    <definedName name="phi_q1" localSheetId="6">'Reduce DMR (1)'!$B$39</definedName>
    <definedName name="phi_q1" localSheetId="7">'Reduce DMR (2)'!$B$39</definedName>
    <definedName name="phi_q1" localSheetId="1">'Status Quo'!$B$39</definedName>
    <definedName name="phi_q1">'Proof of Concept'!$B$38</definedName>
    <definedName name="phi_q2" localSheetId="2">'Excluders (1)'!$B$40</definedName>
    <definedName name="phi_q2" localSheetId="3">'Excluders (2)'!$B$40</definedName>
    <definedName name="phi_q2" localSheetId="4">'No Size Limit (1)'!$B$40</definedName>
    <definedName name="phi_q2" localSheetId="5">'No Size Limit (2)'!$B$40</definedName>
    <definedName name="phi_q2" localSheetId="6">'Reduce DMR (1)'!$B$40</definedName>
    <definedName name="phi_q2" localSheetId="7">'Reduce DMR (2)'!$B$40</definedName>
    <definedName name="phi_q2" localSheetId="1">'Status Quo'!$B$40</definedName>
    <definedName name="phi_q2">'Proof of Concept'!$B$39</definedName>
    <definedName name="phi_q3" localSheetId="2">'Excluders (1)'!$B$41</definedName>
    <definedName name="phi_q3" localSheetId="3">'Excluders (2)'!$B$41</definedName>
    <definedName name="phi_q3" localSheetId="4">'No Size Limit (1)'!$B$41</definedName>
    <definedName name="phi_q3" localSheetId="5">'No Size Limit (2)'!$B$41</definedName>
    <definedName name="phi_q3" localSheetId="6">'Reduce DMR (1)'!$B$41</definedName>
    <definedName name="phi_q3" localSheetId="7">'Reduce DMR (2)'!$B$41</definedName>
    <definedName name="phi_q3" localSheetId="1">'Status Quo'!$B$41</definedName>
    <definedName name="phi_q3">'Proof of Concept'!$B$40</definedName>
    <definedName name="phi_t1" localSheetId="2">'Excluders (1)'!$B$36</definedName>
    <definedName name="phi_t1" localSheetId="3">'Excluders (2)'!$B$36</definedName>
    <definedName name="phi_t1" localSheetId="4">'No Size Limit (1)'!$B$36</definedName>
    <definedName name="phi_t1" localSheetId="5">'No Size Limit (2)'!$B$36</definedName>
    <definedName name="phi_t1" localSheetId="6">'Reduce DMR (1)'!$B$36</definedName>
    <definedName name="phi_t1" localSheetId="7">'Reduce DMR (2)'!$B$36</definedName>
    <definedName name="phi_t1" localSheetId="1">'Status Quo'!$B$36</definedName>
    <definedName name="phi_t1">'Proof of Concept'!$B$35</definedName>
    <definedName name="phi_t2" localSheetId="2">'Excluders (1)'!$B$37</definedName>
    <definedName name="phi_t2" localSheetId="3">'Excluders (2)'!$B$37</definedName>
    <definedName name="phi_t2" localSheetId="4">'No Size Limit (1)'!$B$37</definedName>
    <definedName name="phi_t2" localSheetId="5">'No Size Limit (2)'!$B$37</definedName>
    <definedName name="phi_t2" localSheetId="6">'Reduce DMR (1)'!$B$37</definedName>
    <definedName name="phi_t2" localSheetId="7">'Reduce DMR (2)'!$B$37</definedName>
    <definedName name="phi_t2" localSheetId="1">'Status Quo'!$B$37</definedName>
    <definedName name="phi_t2">'Proof of Concept'!$B$36</definedName>
    <definedName name="phi_t3" localSheetId="2">'Excluders (1)'!$B$38</definedName>
    <definedName name="phi_t3" localSheetId="3">'Excluders (2)'!$B$38</definedName>
    <definedName name="phi_t3" localSheetId="4">'No Size Limit (1)'!$B$38</definedName>
    <definedName name="phi_t3" localSheetId="5">'No Size Limit (2)'!$B$38</definedName>
    <definedName name="phi_t3" localSheetId="6">'Reduce DMR (1)'!$B$38</definedName>
    <definedName name="phi_t3" localSheetId="7">'Reduce DMR (2)'!$B$38</definedName>
    <definedName name="phi_t3" localSheetId="1">'Status Quo'!$B$38</definedName>
    <definedName name="phi_t3">'Proof of Concept'!$B$37</definedName>
    <definedName name="phib" localSheetId="3">'Excluders (2)'!$B$33</definedName>
    <definedName name="phib">'Excluders (1)'!$B$33</definedName>
    <definedName name="phie" localSheetId="2">'Excluders (1)'!$B$34</definedName>
    <definedName name="phie" localSheetId="3">'Excluders (2)'!$B$34</definedName>
    <definedName name="phie" localSheetId="4">'No Size Limit (1)'!$B$34</definedName>
    <definedName name="phie" localSheetId="5">'No Size Limit (2)'!$B$34</definedName>
    <definedName name="phie" localSheetId="6">'Reduce DMR (1)'!$B$34</definedName>
    <definedName name="phie" localSheetId="7">'Reduce DMR (2)'!$B$34</definedName>
    <definedName name="phie" localSheetId="1">'Status Quo'!$B$34</definedName>
    <definedName name="phie">'Proof of Concept'!$B$33</definedName>
    <definedName name="phif" localSheetId="2">'Excluders (1)'!$B$35</definedName>
    <definedName name="phif" localSheetId="3">'Excluders (2)'!$B$35</definedName>
    <definedName name="phif" localSheetId="4">'No Size Limit (1)'!$B$35</definedName>
    <definedName name="phif" localSheetId="5">'No Size Limit (2)'!$B$35</definedName>
    <definedName name="phif" localSheetId="6">'Reduce DMR (1)'!$B$35</definedName>
    <definedName name="phif" localSheetId="7">'Reduce DMR (2)'!$B$35</definedName>
    <definedName name="phif" localSheetId="1">'Status Quo'!$B$35</definedName>
    <definedName name="phif">'Proof of Concept'!$B$34</definedName>
    <definedName name="qa1_" localSheetId="2">'Excluders (1)'!$K$22:$AI$22</definedName>
    <definedName name="qa1_" localSheetId="3">'Excluders (2)'!$K$22:$AI$22</definedName>
    <definedName name="qa1_" localSheetId="4">'No Size Limit (1)'!$K$22:$AI$22</definedName>
    <definedName name="qa1_" localSheetId="5">'No Size Limit (2)'!$K$22:$AI$22</definedName>
    <definedName name="qa1_" localSheetId="6">'Reduce DMR (1)'!$K$22:$AI$22</definedName>
    <definedName name="qa1_" localSheetId="7">'Reduce DMR (2)'!$K$22:$AI$22</definedName>
    <definedName name="qa1_" localSheetId="1">'Status Quo'!$K$22:$AI$22</definedName>
    <definedName name="qa1_">'Proof of Concept'!$K$22:$AI$22</definedName>
    <definedName name="qa2_" localSheetId="2">'Excluders (1)'!$K$23:$AI$23</definedName>
    <definedName name="qa2_" localSheetId="3">'Excluders (2)'!$K$23:$AI$23</definedName>
    <definedName name="qa2_" localSheetId="4">'No Size Limit (1)'!$K$23:$AI$23</definedName>
    <definedName name="qa2_" localSheetId="5">'No Size Limit (2)'!$K$23:$AI$23</definedName>
    <definedName name="qa2_" localSheetId="6">'Reduce DMR (1)'!$K$23:$AI$23</definedName>
    <definedName name="qa2_" localSheetId="7">'Reduce DMR (2)'!$K$23:$AI$23</definedName>
    <definedName name="qa2_" localSheetId="1">'Status Quo'!$K$23:$AI$23</definedName>
    <definedName name="qa2_">'Proof of Concept'!$K$23:$AI$23</definedName>
    <definedName name="qa3_" localSheetId="2">'Excluders (1)'!$K$24:$AI$24</definedName>
    <definedName name="qa3_" localSheetId="3">'Excluders (2)'!$K$24:$AI$24</definedName>
    <definedName name="qa3_" localSheetId="4">'No Size Limit (1)'!$K$24:$AI$24</definedName>
    <definedName name="qa3_" localSheetId="5">'No Size Limit (2)'!$K$24:$AI$24</definedName>
    <definedName name="qa3_" localSheetId="6">'Reduce DMR (1)'!$K$24:$AI$24</definedName>
    <definedName name="qa3_" localSheetId="7">'Reduce DMR (2)'!$K$24:$AI$24</definedName>
    <definedName name="qa3_" localSheetId="1">'Status Quo'!$K$24:$AI$24</definedName>
    <definedName name="qa3_">'Proof of Concept'!$K$24:$AI$24</definedName>
    <definedName name="re" localSheetId="2">'Excluders (1)'!$B$47</definedName>
    <definedName name="re" localSheetId="3">'Excluders (2)'!$B$47</definedName>
    <definedName name="re" localSheetId="4">'No Size Limit (1)'!$B$47</definedName>
    <definedName name="re" localSheetId="5">'No Size Limit (2)'!$B$47</definedName>
    <definedName name="re" localSheetId="6">'Reduce DMR (1)'!$B$47</definedName>
    <definedName name="re" localSheetId="7">'Reduce DMR (2)'!$B$47</definedName>
    <definedName name="re" localSheetId="1">'Status Quo'!$B$47</definedName>
    <definedName name="re">'Proof of Concept'!$B$44</definedName>
    <definedName name="reck" localSheetId="2">'Excluders (1)'!$B$19</definedName>
    <definedName name="reck" localSheetId="3">'Excluders (2)'!$B$19</definedName>
    <definedName name="reck" localSheetId="4">'No Size Limit (1)'!$B$19</definedName>
    <definedName name="reck" localSheetId="5">'No Size Limit (2)'!$B$19</definedName>
    <definedName name="reck" localSheetId="6">'Reduce DMR (1)'!$B$19</definedName>
    <definedName name="reck" localSheetId="7">'Reduce DMR (2)'!$B$19</definedName>
    <definedName name="reck" localSheetId="1">'Status Quo'!$B$19</definedName>
    <definedName name="reck">'Proof of Concept'!$B$19</definedName>
    <definedName name="Ro" localSheetId="2">'Excluders (1)'!$B$21</definedName>
    <definedName name="Ro" localSheetId="3">'Excluders (2)'!$B$21</definedName>
    <definedName name="Ro" localSheetId="4">'No Size Limit (1)'!$B$21</definedName>
    <definedName name="Ro" localSheetId="5">'No Size Limit (2)'!$B$21</definedName>
    <definedName name="Ro" localSheetId="6">'Reduce DMR (1)'!$B$21</definedName>
    <definedName name="Ro" localSheetId="7">'Reduce DMR (2)'!$B$21</definedName>
    <definedName name="Ro" localSheetId="1">'Status Quo'!$B$21</definedName>
    <definedName name="Ro">'Proof of Concept'!$B$21</definedName>
    <definedName name="s_1">SAA!$M$1:$O$1</definedName>
    <definedName name="s_2">SAA!$M$2:$O$2</definedName>
    <definedName name="s_3">SAA!$M$3:$O$3</definedName>
    <definedName name="sa" localSheetId="2">'Excluders (1)'!$K$10:$AI$10</definedName>
    <definedName name="sa" localSheetId="3">'Excluders (2)'!$K$10:$AI$10</definedName>
    <definedName name="sa" localSheetId="4">'No Size Limit (1)'!$K$10:$AI$10</definedName>
    <definedName name="sa" localSheetId="5">'No Size Limit (2)'!$K$10:$AI$10</definedName>
    <definedName name="sa" localSheetId="6">'Reduce DMR (1)'!$K$10:$AI$10</definedName>
    <definedName name="sa" localSheetId="7">'Reduce DMR (2)'!$K$10:$AI$10</definedName>
    <definedName name="sa" localSheetId="1">'Status Quo'!$K$10:$AI$10</definedName>
    <definedName name="sa">'Proof of Concept'!$K$10:$AI$10</definedName>
    <definedName name="slim" localSheetId="2">'Excluders (1)'!$E$18:$E$20</definedName>
    <definedName name="slim" localSheetId="3">'Excluders (2)'!$E$18:$E$20</definedName>
    <definedName name="slim" localSheetId="4">'No Size Limit (1)'!$E$18:$E$20</definedName>
    <definedName name="slim" localSheetId="5">'No Size Limit (2)'!$E$18:$E$20</definedName>
    <definedName name="slim" localSheetId="6">'Reduce DMR (1)'!$E$18:$E$20</definedName>
    <definedName name="slim" localSheetId="7">'Reduce DMR (2)'!$E$18:$E$20</definedName>
    <definedName name="slim" localSheetId="1">'Status Quo'!$E$18:$E$20</definedName>
    <definedName name="slim">'Proof of Concept'!$E$18:$E$20</definedName>
    <definedName name="solver_adj" localSheetId="2" hidden="1">'Excluders (1)'!$B$30</definedName>
    <definedName name="solver_adj" localSheetId="3" hidden="1">'Excluders (2)'!$B$30</definedName>
    <definedName name="solver_adj" localSheetId="4" hidden="1">'No Size Limit (1)'!$B$30</definedName>
    <definedName name="solver_adj" localSheetId="5" hidden="1">'No Size Limit (2)'!$B$30</definedName>
    <definedName name="solver_adj" localSheetId="8" hidden="1">'Proof of Concept'!$B$27,'Proof of Concept'!$B$28,'Proof of Concept'!$B$29</definedName>
    <definedName name="solver_adj" localSheetId="6" hidden="1">'Reduce DMR (1)'!$B$30</definedName>
    <definedName name="solver_adj" localSheetId="7" hidden="1">'Reduce DMR (2)'!$B$30</definedName>
    <definedName name="solver_adj" localSheetId="10" hidden="1">SAA!$M$1:$O$1,SAA!$M$2:$O$2,SAA!$M$3:$O$3</definedName>
    <definedName name="solver_adj" localSheetId="9" hidden="1">Selectivities!$A$13:$A$18,Selectivities!$B$13:$B$18,Selectivities!$C$13:$C$18</definedName>
    <definedName name="solver_adj" localSheetId="1" hidden="1">'Status Quo'!$B$30</definedName>
    <definedName name="solver_cvg" localSheetId="2" hidden="1">0.000001</definedName>
    <definedName name="solver_cvg" localSheetId="3" hidden="1">0.000001</definedName>
    <definedName name="solver_cvg" localSheetId="4" hidden="1">0.000001</definedName>
    <definedName name="solver_cvg" localSheetId="5" hidden="1">0.000001</definedName>
    <definedName name="solver_cvg" localSheetId="8" hidden="1">0.0001</definedName>
    <definedName name="solver_cvg" localSheetId="6" hidden="1">0.000001</definedName>
    <definedName name="solver_cvg" localSheetId="7" hidden="1">0.000001</definedName>
    <definedName name="solver_cvg" localSheetId="10" hidden="1">0.0001</definedName>
    <definedName name="solver_cvg" localSheetId="9" hidden="1">0.0001</definedName>
    <definedName name="solver_cvg" localSheetId="1" hidden="1">0.000001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8" hidden="1">1</definedName>
    <definedName name="solver_drv" localSheetId="6" hidden="1">1</definedName>
    <definedName name="solver_drv" localSheetId="7" hidden="1">1</definedName>
    <definedName name="solver_drv" localSheetId="10" hidden="1">1</definedName>
    <definedName name="solver_drv" localSheetId="9" hidden="1">1</definedName>
    <definedName name="solver_drv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8" hidden="1">1</definedName>
    <definedName name="solver_eng" localSheetId="6" hidden="1">1</definedName>
    <definedName name="solver_eng" localSheetId="7" hidden="1">1</definedName>
    <definedName name="solver_eng" localSheetId="10" hidden="1">1</definedName>
    <definedName name="solver_eng" localSheetId="9" hidden="1">1</definedName>
    <definedName name="solver_eng" localSheetId="1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8" hidden="1">2147483647</definedName>
    <definedName name="solver_itr" localSheetId="6" hidden="1">2147483647</definedName>
    <definedName name="solver_itr" localSheetId="7" hidden="1">2147483647</definedName>
    <definedName name="solver_itr" localSheetId="10" hidden="1">2147483647</definedName>
    <definedName name="solver_itr" localSheetId="9" hidden="1">2147483647</definedName>
    <definedName name="solver_itr" localSheetId="1" hidden="1">2147483647</definedName>
    <definedName name="solver_lhs1" localSheetId="2" hidden="1">'Excluders (1)'!$B$30</definedName>
    <definedName name="solver_lhs1" localSheetId="3" hidden="1">'Excluders (2)'!$B$30</definedName>
    <definedName name="solver_lhs1" localSheetId="4" hidden="1">'No Size Limit (1)'!$B$30</definedName>
    <definedName name="solver_lhs1" localSheetId="5" hidden="1">'No Size Limit (2)'!$B$30</definedName>
    <definedName name="solver_lhs1" localSheetId="6" hidden="1">'Reduce DMR (1)'!$B$30</definedName>
    <definedName name="solver_lhs1" localSheetId="7" hidden="1">'Reduce DMR (2)'!$B$30</definedName>
    <definedName name="solver_lhs1" localSheetId="9" hidden="1">Selectivities!$C$13:$C$18</definedName>
    <definedName name="solver_lhs1" localSheetId="1" hidden="1">'Status Quo'!$B$30</definedName>
    <definedName name="solver_lhs2" localSheetId="2" hidden="1">'Excluders (1)'!$B$30</definedName>
    <definedName name="solver_lhs2" localSheetId="3" hidden="1">'Excluders (2)'!$B$30</definedName>
    <definedName name="solver_lhs2" localSheetId="4" hidden="1">'No Size Limit (1)'!$B$30</definedName>
    <definedName name="solver_lhs2" localSheetId="5" hidden="1">'No Size Limit (2)'!$B$30</definedName>
    <definedName name="solver_lhs2" localSheetId="6" hidden="1">'Reduce DMR (1)'!$B$30</definedName>
    <definedName name="solver_lhs2" localSheetId="7" hidden="1">'Reduce DMR (2)'!$B$30</definedName>
    <definedName name="solver_lhs2" localSheetId="9" hidden="1">Selectivities!$B$13:$B$17</definedName>
    <definedName name="solver_lhs2" localSheetId="1" hidden="1">'Status Quo'!$B$30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lin" localSheetId="5" hidden="1">2</definedName>
    <definedName name="solver_lin" localSheetId="8" hidden="1">2</definedName>
    <definedName name="solver_lin" localSheetId="6" hidden="1">2</definedName>
    <definedName name="solver_lin" localSheetId="7" hidden="1">2</definedName>
    <definedName name="solver_lin" localSheetId="10" hidden="1">2</definedName>
    <definedName name="solver_lin" localSheetId="9" hidden="1">2</definedName>
    <definedName name="solver_lin" localSheetId="1" hidden="1">2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8" hidden="1">2147483647</definedName>
    <definedName name="solver_mip" localSheetId="6" hidden="1">2147483647</definedName>
    <definedName name="solver_mip" localSheetId="7" hidden="1">2147483647</definedName>
    <definedName name="solver_mip" localSheetId="10" hidden="1">2147483647</definedName>
    <definedName name="solver_mip" localSheetId="9" hidden="1">2147483647</definedName>
    <definedName name="solver_mip" localSheetId="1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8" hidden="1">30</definedName>
    <definedName name="solver_mni" localSheetId="6" hidden="1">30</definedName>
    <definedName name="solver_mni" localSheetId="7" hidden="1">30</definedName>
    <definedName name="solver_mni" localSheetId="10" hidden="1">30</definedName>
    <definedName name="solver_mni" localSheetId="9" hidden="1">30</definedName>
    <definedName name="solver_mni" localSheetId="1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8" hidden="1">0.075</definedName>
    <definedName name="solver_mrt" localSheetId="6" hidden="1">0.075</definedName>
    <definedName name="solver_mrt" localSheetId="7" hidden="1">0.075</definedName>
    <definedName name="solver_mrt" localSheetId="10" hidden="1">0.075</definedName>
    <definedName name="solver_mrt" localSheetId="9" hidden="1">0.075</definedName>
    <definedName name="solver_mrt" localSheetId="1" hidden="1">0.075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8" hidden="1">2</definedName>
    <definedName name="solver_msl" localSheetId="6" hidden="1">2</definedName>
    <definedName name="solver_msl" localSheetId="7" hidden="1">2</definedName>
    <definedName name="solver_msl" localSheetId="10" hidden="1">2</definedName>
    <definedName name="solver_msl" localSheetId="9" hidden="1">2</definedName>
    <definedName name="solver_msl" localSheetId="1" hidden="1">2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8" hidden="1">1</definedName>
    <definedName name="solver_neg" localSheetId="6" hidden="1">1</definedName>
    <definedName name="solver_neg" localSheetId="7" hidden="1">1</definedName>
    <definedName name="solver_neg" localSheetId="10" hidden="1">1</definedName>
    <definedName name="solver_neg" localSheetId="9" hidden="1">1</definedName>
    <definedName name="solver_neg" localSheetId="1" hidden="1">1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8" hidden="1">2147483647</definedName>
    <definedName name="solver_nod" localSheetId="6" hidden="1">2147483647</definedName>
    <definedName name="solver_nod" localSheetId="7" hidden="1">2147483647</definedName>
    <definedName name="solver_nod" localSheetId="10" hidden="1">2147483647</definedName>
    <definedName name="solver_nod" localSheetId="9" hidden="1">2147483647</definedName>
    <definedName name="solver_nod" localSheetId="1" hidden="1">2147483647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8" hidden="1">0</definedName>
    <definedName name="solver_num" localSheetId="6" hidden="1">0</definedName>
    <definedName name="solver_num" localSheetId="7" hidden="1">0</definedName>
    <definedName name="solver_num" localSheetId="10" hidden="1">0</definedName>
    <definedName name="solver_num" localSheetId="9" hidden="1">1</definedName>
    <definedName name="solver_num" localSheetId="1" hidden="1">0</definedName>
    <definedName name="solver_opt" localSheetId="2" hidden="1">'Excluders (1)'!$C$15</definedName>
    <definedName name="solver_opt" localSheetId="3" hidden="1">'Excluders (2)'!$C$15</definedName>
    <definedName name="solver_opt" localSheetId="4" hidden="1">'No Size Limit (1)'!$C$15</definedName>
    <definedName name="solver_opt" localSheetId="5" hidden="1">'No Size Limit (2)'!$C$15</definedName>
    <definedName name="solver_opt" localSheetId="8" hidden="1">'Proof of Concept'!$C$15</definedName>
    <definedName name="solver_opt" localSheetId="6" hidden="1">'Reduce DMR (1)'!$C$15</definedName>
    <definedName name="solver_opt" localSheetId="7" hidden="1">'Reduce DMR (2)'!$C$15</definedName>
    <definedName name="solver_opt" localSheetId="10" hidden="1">SAA!$M$4</definedName>
    <definedName name="solver_opt" localSheetId="9" hidden="1">Selectivities!$B$1</definedName>
    <definedName name="solver_opt" localSheetId="1" hidden="1">'Status Quo'!$C$15</definedName>
    <definedName name="solver_pre" localSheetId="2" hidden="1">0.000000001</definedName>
    <definedName name="solver_pre" localSheetId="3" hidden="1">0.000000001</definedName>
    <definedName name="solver_pre" localSheetId="4" hidden="1">0.000000001</definedName>
    <definedName name="solver_pre" localSheetId="5" hidden="1">0.000000001</definedName>
    <definedName name="solver_pre" localSheetId="8" hidden="1">0.000000001</definedName>
    <definedName name="solver_pre" localSheetId="6" hidden="1">0.000000001</definedName>
    <definedName name="solver_pre" localSheetId="7" hidden="1">0.000000001</definedName>
    <definedName name="solver_pre" localSheetId="10" hidden="1">0.000001</definedName>
    <definedName name="solver_pre" localSheetId="9" hidden="1">0.000001</definedName>
    <definedName name="solver_pre" localSheetId="1" hidden="1">0.000000001</definedName>
    <definedName name="solver_rbv" localSheetId="2" hidden="1">2</definedName>
    <definedName name="solver_rbv" localSheetId="3" hidden="1">2</definedName>
    <definedName name="solver_rbv" localSheetId="4" hidden="1">2</definedName>
    <definedName name="solver_rbv" localSheetId="5" hidden="1">2</definedName>
    <definedName name="solver_rbv" localSheetId="8" hidden="1">1</definedName>
    <definedName name="solver_rbv" localSheetId="6" hidden="1">2</definedName>
    <definedName name="solver_rbv" localSheetId="7" hidden="1">2</definedName>
    <definedName name="solver_rbv" localSheetId="10" hidden="1">1</definedName>
    <definedName name="solver_rbv" localSheetId="9" hidden="1">2</definedName>
    <definedName name="solver_rbv" localSheetId="1" hidden="1">2</definedName>
    <definedName name="solver_rel1" localSheetId="2" hidden="1">1</definedName>
    <definedName name="solver_rel1" localSheetId="3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1" localSheetId="9" hidden="1">3</definedName>
    <definedName name="solver_rel1" localSheetId="1" hidden="1">1</definedName>
    <definedName name="solver_rel2" localSheetId="2" hidden="1">3</definedName>
    <definedName name="solver_rel2" localSheetId="3" hidden="1">3</definedName>
    <definedName name="solver_rel2" localSheetId="4" hidden="1">3</definedName>
    <definedName name="solver_rel2" localSheetId="5" hidden="1">3</definedName>
    <definedName name="solver_rel2" localSheetId="6" hidden="1">3</definedName>
    <definedName name="solver_rel2" localSheetId="7" hidden="1">3</definedName>
    <definedName name="solver_rel2" localSheetId="9" hidden="1">3</definedName>
    <definedName name="solver_rel2" localSheetId="1" hidden="1">3</definedName>
    <definedName name="solver_rhs1" localSheetId="2" hidden="1">2</definedName>
    <definedName name="solver_rhs1" localSheetId="3" hidden="1">2</definedName>
    <definedName name="solver_rhs1" localSheetId="4" hidden="1">2</definedName>
    <definedName name="solver_rhs1" localSheetId="5" hidden="1">2</definedName>
    <definedName name="solver_rhs1" localSheetId="6" hidden="1">2</definedName>
    <definedName name="solver_rhs1" localSheetId="7" hidden="1">2</definedName>
    <definedName name="solver_rhs1" localSheetId="9" hidden="1">0.00001</definedName>
    <definedName name="solver_rhs1" localSheetId="1" hidden="1">2</definedName>
    <definedName name="solver_rhs2" localSheetId="2" hidden="1">0</definedName>
    <definedName name="solver_rhs2" localSheetId="3" hidden="1">0</definedName>
    <definedName name="solver_rhs2" localSheetId="4" hidden="1">0</definedName>
    <definedName name="solver_rhs2" localSheetId="5" hidden="1">0</definedName>
    <definedName name="solver_rhs2" localSheetId="6" hidden="1">0</definedName>
    <definedName name="solver_rhs2" localSheetId="7" hidden="1">0</definedName>
    <definedName name="solver_rhs2" localSheetId="9" hidden="1">0.001</definedName>
    <definedName name="solver_rhs2" localSheetId="1" hidden="1">0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8" hidden="1">2</definedName>
    <definedName name="solver_rlx" localSheetId="6" hidden="1">2</definedName>
    <definedName name="solver_rlx" localSheetId="7" hidden="1">2</definedName>
    <definedName name="solver_rlx" localSheetId="10" hidden="1">2</definedName>
    <definedName name="solver_rlx" localSheetId="9" hidden="1">2</definedName>
    <definedName name="solver_rlx" localSheetId="1" hidden="1">2</definedName>
    <definedName name="solver_rsd" localSheetId="2" hidden="1">123</definedName>
    <definedName name="solver_rsd" localSheetId="3" hidden="1">123</definedName>
    <definedName name="solver_rsd" localSheetId="4" hidden="1">123</definedName>
    <definedName name="solver_rsd" localSheetId="5" hidden="1">123</definedName>
    <definedName name="solver_rsd" localSheetId="8" hidden="1">0</definedName>
    <definedName name="solver_rsd" localSheetId="6" hidden="1">123</definedName>
    <definedName name="solver_rsd" localSheetId="7" hidden="1">123</definedName>
    <definedName name="solver_rsd" localSheetId="10" hidden="1">0</definedName>
    <definedName name="solver_rsd" localSheetId="9" hidden="1">0</definedName>
    <definedName name="solver_rsd" localSheetId="1" hidden="1">123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8" hidden="1">1</definedName>
    <definedName name="solver_scl" localSheetId="6" hidden="1">1</definedName>
    <definedName name="solver_scl" localSheetId="7" hidden="1">1</definedName>
    <definedName name="solver_scl" localSheetId="10" hidden="1">1</definedName>
    <definedName name="solver_scl" localSheetId="9" hidden="1">1</definedName>
    <definedName name="solver_scl" localSheetId="1" hidden="1">1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8" hidden="1">2</definedName>
    <definedName name="solver_sho" localSheetId="6" hidden="1">2</definedName>
    <definedName name="solver_sho" localSheetId="7" hidden="1">2</definedName>
    <definedName name="solver_sho" localSheetId="10" hidden="1">2</definedName>
    <definedName name="solver_sho" localSheetId="9" hidden="1">2</definedName>
    <definedName name="solver_sho" localSheetId="1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8" hidden="1">100</definedName>
    <definedName name="solver_ssz" localSheetId="6" hidden="1">100</definedName>
    <definedName name="solver_ssz" localSheetId="7" hidden="1">100</definedName>
    <definedName name="solver_ssz" localSheetId="10" hidden="1">100</definedName>
    <definedName name="solver_ssz" localSheetId="9" hidden="1">100</definedName>
    <definedName name="solver_ssz" localSheetId="1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8" hidden="1">2147483647</definedName>
    <definedName name="solver_tim" localSheetId="6" hidden="1">2147483647</definedName>
    <definedName name="solver_tim" localSheetId="7" hidden="1">2147483647</definedName>
    <definedName name="solver_tim" localSheetId="10" hidden="1">2147483647</definedName>
    <definedName name="solver_tim" localSheetId="9" hidden="1">2147483647</definedName>
    <definedName name="solver_tim" localSheetId="1" hidden="1">2147483647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8" hidden="1">0.01</definedName>
    <definedName name="solver_tol" localSheetId="6" hidden="1">0.01</definedName>
    <definedName name="solver_tol" localSheetId="7" hidden="1">0.01</definedName>
    <definedName name="solver_tol" localSheetId="10" hidden="1">0.01</definedName>
    <definedName name="solver_tol" localSheetId="9" hidden="1">0.01</definedName>
    <definedName name="solver_tol" localSheetId="1" hidden="1">0.01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8" hidden="1">2</definedName>
    <definedName name="solver_typ" localSheetId="6" hidden="1">2</definedName>
    <definedName name="solver_typ" localSheetId="7" hidden="1">2</definedName>
    <definedName name="solver_typ" localSheetId="10" hidden="1">2</definedName>
    <definedName name="solver_typ" localSheetId="9" hidden="1">2</definedName>
    <definedName name="solver_typ" localSheetId="1" hidden="1">2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8" hidden="1">0</definedName>
    <definedName name="solver_val" localSheetId="6" hidden="1">0</definedName>
    <definedName name="solver_val" localSheetId="7" hidden="1">0</definedName>
    <definedName name="solver_val" localSheetId="10" hidden="1">0</definedName>
    <definedName name="solver_val" localSheetId="9" hidden="1">0</definedName>
    <definedName name="solver_val" localSheetId="1" hidden="1">0</definedName>
    <definedName name="solver_ver" localSheetId="2" hidden="1">2</definedName>
    <definedName name="solver_ver" localSheetId="3" hidden="1">2</definedName>
    <definedName name="solver_ver" localSheetId="4" hidden="1">2</definedName>
    <definedName name="solver_ver" localSheetId="5" hidden="1">2</definedName>
    <definedName name="solver_ver" localSheetId="8" hidden="1">2</definedName>
    <definedName name="solver_ver" localSheetId="6" hidden="1">2</definedName>
    <definedName name="solver_ver" localSheetId="7" hidden="1">2</definedName>
    <definedName name="solver_ver" localSheetId="10" hidden="1">2</definedName>
    <definedName name="solver_ver" localSheetId="9" hidden="1">2</definedName>
    <definedName name="solver_ver" localSheetId="1" hidden="1">2</definedName>
    <definedName name="spr" localSheetId="2">'Excluders (1)'!$B$46</definedName>
    <definedName name="spr" localSheetId="3">'Excluders (2)'!$B$46</definedName>
    <definedName name="spr" localSheetId="4">'No Size Limit (1)'!$B$46</definedName>
    <definedName name="spr" localSheetId="5">'No Size Limit (2)'!$B$46</definedName>
    <definedName name="spr" localSheetId="6">'Reduce DMR (1)'!$B$46</definedName>
    <definedName name="spr" localSheetId="7">'Reduce DMR (2)'!$B$46</definedName>
    <definedName name="spr" localSheetId="1">'Status Quo'!$B$46</definedName>
    <definedName name="spr">'Proof of Concept'!$B$43</definedName>
    <definedName name="sr" localSheetId="2">'Excluders (1)'!$K$12:$AI$12</definedName>
    <definedName name="sr" localSheetId="3">'Excluders (2)'!$K$12:$AI$12</definedName>
    <definedName name="sr" localSheetId="4">'No Size Limit (1)'!$K$12:$AI$12</definedName>
    <definedName name="sr" localSheetId="5">'No Size Limit (2)'!$K$12:$AI$12</definedName>
    <definedName name="sr" localSheetId="6">'Reduce DMR (1)'!$K$12:$AI$12</definedName>
    <definedName name="sr" localSheetId="7">'Reduce DMR (2)'!$K$12:$AI$12</definedName>
    <definedName name="sr" localSheetId="1">'Status Quo'!$K$12:$AI$12</definedName>
    <definedName name="sr">'Proof of Concept'!$K$12:$AI$12</definedName>
    <definedName name="sr_1" localSheetId="2">'Excluders (1)'!$K$12:$AI$12</definedName>
    <definedName name="sr_1" localSheetId="3">'Excluders (2)'!$K$12:$AI$12</definedName>
    <definedName name="sr_1" localSheetId="4">'No Size Limit (1)'!$K$12:$AI$12</definedName>
    <definedName name="sr_1" localSheetId="5">'No Size Limit (2)'!$K$12:$AI$12</definedName>
    <definedName name="sr_1" localSheetId="6">'Reduce DMR (1)'!$K$12:$AI$12</definedName>
    <definedName name="sr_1" localSheetId="7">'Reduce DMR (2)'!$K$12:$AI$12</definedName>
    <definedName name="sr_1" localSheetId="1">'Status Quo'!$K$12:$AI$12</definedName>
    <definedName name="sr_1">#REF!</definedName>
    <definedName name="sr_2" localSheetId="2">'Excluders (1)'!$K$13:$AI$13</definedName>
    <definedName name="sr_2" localSheetId="3">'Excluders (2)'!$K$13:$AI$13</definedName>
    <definedName name="sr_2" localSheetId="4">'No Size Limit (1)'!$K$13:$AI$13</definedName>
    <definedName name="sr_2" localSheetId="5">'No Size Limit (2)'!$K$13:$AI$13</definedName>
    <definedName name="sr_2" localSheetId="6">'Reduce DMR (1)'!$K$13:$AI$13</definedName>
    <definedName name="sr_2" localSheetId="7">'Reduce DMR (2)'!$K$13:$AI$13</definedName>
    <definedName name="sr_2" localSheetId="1">'Status Quo'!$K$13:$AI$13</definedName>
    <definedName name="sr_2">#REF!</definedName>
    <definedName name="sr_3" localSheetId="2">'Excluders (1)'!$K$14:$AI$14</definedName>
    <definedName name="sr_3" localSheetId="3">'Excluders (2)'!$K$14:$AI$14</definedName>
    <definedName name="sr_3" localSheetId="4">'No Size Limit (1)'!$K$14:$AI$14</definedName>
    <definedName name="sr_3" localSheetId="5">'No Size Limit (2)'!$K$14:$AI$14</definedName>
    <definedName name="sr_3" localSheetId="6">'Reduce DMR (1)'!$K$14:$AI$14</definedName>
    <definedName name="sr_3" localSheetId="7">'Reduce DMR (2)'!$K$14:$AI$14</definedName>
    <definedName name="sr_3" localSheetId="1">'Status Quo'!$K$14:$AI$14</definedName>
    <definedName name="sr_3">#REF!</definedName>
    <definedName name="SS">SAA!$B$10</definedName>
    <definedName name="ta1_" localSheetId="2">'Excluders (1)'!$K$26:$AI$26</definedName>
    <definedName name="ta1_" localSheetId="3">'Excluders (2)'!$K$26:$AI$26</definedName>
    <definedName name="ta1_" localSheetId="4">'No Size Limit (1)'!$K$26:$AI$26</definedName>
    <definedName name="ta1_" localSheetId="5">'No Size Limit (2)'!$K$26:$AI$26</definedName>
    <definedName name="ta1_" localSheetId="6">'Reduce DMR (1)'!$K$26:$AI$26</definedName>
    <definedName name="ta1_" localSheetId="7">'Reduce DMR (2)'!$K$26:$AI$26</definedName>
    <definedName name="ta1_" localSheetId="1">'Status Quo'!$K$26:$AI$26</definedName>
    <definedName name="ta1_">'Proof of Concept'!$K$26:$AI$26</definedName>
    <definedName name="ta2_" localSheetId="2">'Excluders (1)'!$K$27:$AI$27</definedName>
    <definedName name="ta2_" localSheetId="3">'Excluders (2)'!$K$27:$AI$27</definedName>
    <definedName name="ta2_" localSheetId="4">'No Size Limit (1)'!$K$27:$AI$27</definedName>
    <definedName name="ta2_" localSheetId="5">'No Size Limit (2)'!$K$27:$AI$27</definedName>
    <definedName name="ta2_" localSheetId="6">'Reduce DMR (1)'!$K$27:$AI$27</definedName>
    <definedName name="ta2_" localSheetId="7">'Reduce DMR (2)'!$K$27:$AI$27</definedName>
    <definedName name="ta2_" localSheetId="1">'Status Quo'!$K$27:$AI$27</definedName>
    <definedName name="ta2_">'Proof of Concept'!$K$27:$AI$27</definedName>
    <definedName name="ta3_" localSheetId="2">'Excluders (1)'!$K$28:$AI$28</definedName>
    <definedName name="ta3_" localSheetId="3">'Excluders (2)'!$K$28:$AI$28</definedName>
    <definedName name="ta3_" localSheetId="4">'No Size Limit (1)'!$K$28:$AI$28</definedName>
    <definedName name="ta3_" localSheetId="5">'No Size Limit (2)'!$K$28:$AI$28</definedName>
    <definedName name="ta3_" localSheetId="6">'Reduce DMR (1)'!$K$28:$AI$28</definedName>
    <definedName name="ta3_" localSheetId="7">'Reduce DMR (2)'!$K$28:$AI$28</definedName>
    <definedName name="ta3_" localSheetId="1">'Status Quo'!$K$28:$AI$28</definedName>
    <definedName name="ta3_">'Proof of Concept'!$K$28:$AI$28</definedName>
    <definedName name="to" localSheetId="2">'Excluders (1)'!$B$24</definedName>
    <definedName name="to" localSheetId="3">'Excluders (2)'!$B$24</definedName>
    <definedName name="to" localSheetId="4">'No Size Limit (1)'!$B$24</definedName>
    <definedName name="to" localSheetId="5">'No Size Limit (2)'!$B$24</definedName>
    <definedName name="to" localSheetId="6">'Reduce DMR (1)'!$B$24</definedName>
    <definedName name="to" localSheetId="7">'Reduce DMR (2)'!$B$24</definedName>
    <definedName name="to" localSheetId="1">'Status Quo'!$B$24</definedName>
    <definedName name="to">SAA!$B$4:$C$4</definedName>
    <definedName name="vonbk" localSheetId="2">'Excluders (1)'!$B$23</definedName>
    <definedName name="vonbk" localSheetId="3">'Excluders (2)'!$B$23</definedName>
    <definedName name="vonbk" localSheetId="4">'No Size Limit (1)'!$B$23</definedName>
    <definedName name="vonbk" localSheetId="5">'No Size Limit (2)'!$B$23</definedName>
    <definedName name="vonbk" localSheetId="6">'Reduce DMR (1)'!$B$23</definedName>
    <definedName name="vonbk" localSheetId="7">'Reduce DMR (2)'!$B$23</definedName>
    <definedName name="vonbk" localSheetId="1">'Status Quo'!$B$23</definedName>
    <definedName name="vonbk">'Proof of Concept'!$B$23</definedName>
    <definedName name="wa" localSheetId="2">'Excluders (1)'!$K$5:$AI$5</definedName>
    <definedName name="wa" localSheetId="3">'Excluders (2)'!$K$5:$AI$5</definedName>
    <definedName name="wa" localSheetId="4">'No Size Limit (1)'!$K$5:$AI$5</definedName>
    <definedName name="wa" localSheetId="5">'No Size Limit (2)'!$K$5:$AI$5</definedName>
    <definedName name="wa" localSheetId="6">'Reduce DMR (1)'!$K$5:$AI$5</definedName>
    <definedName name="wa" localSheetId="7">'Reduce DMR (2)'!$K$5:$AI$5</definedName>
    <definedName name="Wa" localSheetId="10">SAA!$H$2:$AK$2</definedName>
    <definedName name="wa" localSheetId="1">'Status Quo'!$K$5:$AI$5</definedName>
    <definedName name="wa">'Proof of Concept'!$K$5:$AI$5</definedName>
    <definedName name="Wa_hat">SAA!$H$3:$AK$3</definedName>
    <definedName name="winf">SAA!$B$1:$C$1</definedName>
    <definedName name="ye_1" localSheetId="2">'Excluders (1)'!$B$48</definedName>
    <definedName name="ye_1" localSheetId="3">'Excluders (2)'!$B$48</definedName>
    <definedName name="ye_1" localSheetId="4">'No Size Limit (1)'!$B$48</definedName>
    <definedName name="ye_1" localSheetId="5">'No Size Limit (2)'!$B$48</definedName>
    <definedName name="ye_1" localSheetId="6">'Reduce DMR (1)'!$B$48</definedName>
    <definedName name="ye_1" localSheetId="7">'Reduce DMR (2)'!$B$48</definedName>
    <definedName name="ye_1" localSheetId="1">'Status Quo'!$B$48</definedName>
    <definedName name="ye_1">'Proof of Concept'!$B$45</definedName>
    <definedName name="ye_2" localSheetId="2">'Excluders (1)'!$B$49</definedName>
    <definedName name="ye_2" localSheetId="3">'Excluders (2)'!$B$49</definedName>
    <definedName name="ye_2" localSheetId="4">'No Size Limit (1)'!$B$49</definedName>
    <definedName name="ye_2" localSheetId="5">'No Size Limit (2)'!$B$49</definedName>
    <definedName name="ye_2" localSheetId="6">'Reduce DMR (1)'!$B$49</definedName>
    <definedName name="ye_2" localSheetId="7">'Reduce DMR (2)'!$B$49</definedName>
    <definedName name="ye_2" localSheetId="1">'Status Quo'!$B$49</definedName>
    <definedName name="ye_2">'Proof of Concept'!$B$46</definedName>
    <definedName name="ye_3" localSheetId="2">'Excluders (1)'!$B$50</definedName>
    <definedName name="ye_3" localSheetId="3">'Excluders (2)'!$B$50</definedName>
    <definedName name="ye_3" localSheetId="4">'No Size Limit (1)'!$B$50</definedName>
    <definedName name="ye_3" localSheetId="5">'No Size Limit (2)'!$B$50</definedName>
    <definedName name="ye_3" localSheetId="6">'Reduce DMR (1)'!$B$50</definedName>
    <definedName name="ye_3" localSheetId="7">'Reduce DMR (2)'!$B$50</definedName>
    <definedName name="ye_3" localSheetId="1">'Status Quo'!$B$50</definedName>
    <definedName name="ye_3">'Proof of Concept'!$B$47</definedName>
    <definedName name="ypr1" localSheetId="2">'Excluders (1)'!$B$53</definedName>
    <definedName name="ypr1" localSheetId="3">'Excluders (2)'!$B$53</definedName>
    <definedName name="ypr1" localSheetId="4">'No Size Limit (1)'!$B$53</definedName>
    <definedName name="ypr1" localSheetId="5">'No Size Limit (2)'!$B$53</definedName>
    <definedName name="ypr1" localSheetId="6">'Reduce DMR (1)'!$B$53</definedName>
    <definedName name="ypr1" localSheetId="7">'Reduce DMR (2)'!$B$53</definedName>
    <definedName name="ypr1" localSheetId="1">'Status Quo'!$B$53</definedName>
    <definedName name="ypr1">'Proof of Concept'!$B$50</definedName>
    <definedName name="ypr2" localSheetId="2">'Excluders (1)'!$B$54</definedName>
    <definedName name="ypr2" localSheetId="3">'Excluders (2)'!$B$54</definedName>
    <definedName name="ypr2" localSheetId="4">'No Size Limit (1)'!$B$54</definedName>
    <definedName name="ypr2" localSheetId="5">'No Size Limit (2)'!$B$54</definedName>
    <definedName name="ypr2" localSheetId="6">'Reduce DMR (1)'!$B$54</definedName>
    <definedName name="ypr2" localSheetId="7">'Reduce DMR (2)'!$B$54</definedName>
    <definedName name="ypr2" localSheetId="1">'Status Quo'!$B$54</definedName>
    <definedName name="ypr2">'Proof of Concept'!$B$51</definedName>
    <definedName name="ypr3" localSheetId="2">'Excluders (1)'!$B$55</definedName>
    <definedName name="ypr3" localSheetId="3">'Excluders (2)'!$B$55</definedName>
    <definedName name="ypr3" localSheetId="4">'No Size Limit (1)'!$B$55</definedName>
    <definedName name="ypr3" localSheetId="5">'No Size Limit (2)'!$B$55</definedName>
    <definedName name="ypr3" localSheetId="6">'Reduce DMR (1)'!$B$55</definedName>
    <definedName name="ypr3" localSheetId="7">'Reduce DMR (2)'!$B$55</definedName>
    <definedName name="ypr3" localSheetId="1">'Status Quo'!$B$55</definedName>
    <definedName name="ypr3">'Proof of Concept'!$B$52</definedName>
    <definedName name="za" localSheetId="2">'Excluders (1)'!$K$8:$AI$8</definedName>
    <definedName name="za" localSheetId="3">'Excluders (2)'!$K$8:$AI$8</definedName>
    <definedName name="za" localSheetId="4">'No Size Limit (1)'!$K$8:$AI$8</definedName>
    <definedName name="za" localSheetId="5">'No Size Limit (2)'!$K$8:$AI$8</definedName>
    <definedName name="za" localSheetId="6">'Reduce DMR (1)'!$K$8:$AI$8</definedName>
    <definedName name="za" localSheetId="7">'Reduce DMR (2)'!$K$8:$AI$8</definedName>
    <definedName name="za" localSheetId="1">'Status Quo'!$K$8:$AI$8</definedName>
    <definedName name="za">'Proof of Concept'!$K$8:$AI$8</definedName>
  </definedNames>
  <calcPr calcId="140000" iterate="1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1" l="1"/>
  <c r="B44" i="1"/>
  <c r="H32" i="1"/>
  <c r="G40" i="1"/>
  <c r="H31" i="1"/>
  <c r="G39" i="1"/>
  <c r="G52" i="1"/>
  <c r="J53" i="1" a="1"/>
  <c r="H40" i="1"/>
  <c r="H52" i="1"/>
  <c r="J54" i="1"/>
  <c r="G54" i="1"/>
  <c r="G48" i="1"/>
  <c r="G18" i="3"/>
  <c r="N26" i="5"/>
  <c r="N27" i="5"/>
  <c r="N28" i="5"/>
  <c r="O26" i="5"/>
  <c r="O27" i="5"/>
  <c r="O28" i="5"/>
  <c r="N29" i="5"/>
  <c r="O29" i="5"/>
  <c r="N30" i="5"/>
  <c r="O30" i="5"/>
  <c r="N31" i="5"/>
  <c r="O31" i="5"/>
  <c r="N32" i="5"/>
  <c r="O32" i="5"/>
  <c r="N33" i="5"/>
  <c r="O33" i="5"/>
  <c r="N34" i="5"/>
  <c r="O34" i="5"/>
  <c r="N35" i="5"/>
  <c r="O35" i="5"/>
  <c r="N36" i="5"/>
  <c r="O36" i="5"/>
  <c r="N37" i="5"/>
  <c r="O37" i="5"/>
  <c r="N38" i="5"/>
  <c r="O38" i="5"/>
  <c r="N39" i="5"/>
  <c r="O39" i="5"/>
  <c r="N40" i="5"/>
  <c r="O40" i="5"/>
  <c r="N41" i="5"/>
  <c r="O41" i="5"/>
  <c r="M13" i="5"/>
  <c r="N13" i="5"/>
  <c r="O13" i="5"/>
  <c r="M14" i="5"/>
  <c r="N14" i="5"/>
  <c r="O14" i="5"/>
  <c r="M15" i="5"/>
  <c r="N15" i="5"/>
  <c r="O15" i="5"/>
  <c r="M16" i="5"/>
  <c r="N16" i="5"/>
  <c r="O16" i="5"/>
  <c r="M17" i="5"/>
  <c r="N17" i="5"/>
  <c r="O17" i="5"/>
  <c r="M18" i="5"/>
  <c r="N18" i="5"/>
  <c r="O18" i="5"/>
  <c r="M19" i="5"/>
  <c r="N19" i="5"/>
  <c r="O19" i="5"/>
  <c r="M20" i="5"/>
  <c r="N20" i="5"/>
  <c r="O20" i="5"/>
  <c r="M21" i="5"/>
  <c r="N21" i="5"/>
  <c r="O21" i="5"/>
  <c r="M22" i="5"/>
  <c r="N22" i="5"/>
  <c r="O22" i="5"/>
  <c r="M23" i="5"/>
  <c r="N23" i="5"/>
  <c r="O23" i="5"/>
  <c r="M24" i="5"/>
  <c r="N24" i="5"/>
  <c r="O24" i="5"/>
  <c r="M25" i="5"/>
  <c r="N25" i="5"/>
  <c r="O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N12" i="5"/>
  <c r="O12" i="5"/>
  <c r="M12" i="5"/>
  <c r="M4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12" i="5"/>
  <c r="B2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C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12" i="5"/>
  <c r="E13" i="4"/>
  <c r="E2" i="4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B23" i="3"/>
  <c r="B22" i="3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12" i="5"/>
  <c r="I19" i="3"/>
  <c r="B24" i="3"/>
  <c r="K4" i="3"/>
  <c r="K12" i="3"/>
  <c r="K18" i="3"/>
  <c r="K19" i="3"/>
  <c r="S2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F2" i="4"/>
  <c r="F16" i="4"/>
  <c r="G2" i="4"/>
  <c r="G16" i="4"/>
  <c r="H2" i="4"/>
  <c r="H16" i="4"/>
  <c r="I2" i="4"/>
  <c r="I16" i="4"/>
  <c r="J2" i="4"/>
  <c r="J16" i="4"/>
  <c r="K2" i="4"/>
  <c r="K16" i="4"/>
  <c r="L2" i="4"/>
  <c r="L16" i="4"/>
  <c r="M2" i="4"/>
  <c r="M16" i="4"/>
  <c r="N2" i="4"/>
  <c r="N16" i="4"/>
  <c r="O2" i="4"/>
  <c r="O16" i="4"/>
  <c r="P2" i="4"/>
  <c r="P16" i="4"/>
  <c r="Q2" i="4"/>
  <c r="Q16" i="4"/>
  <c r="R2" i="4"/>
  <c r="R16" i="4"/>
  <c r="S16" i="4"/>
  <c r="T2" i="4"/>
  <c r="T16" i="4"/>
  <c r="U2" i="4"/>
  <c r="U16" i="4"/>
  <c r="V2" i="4"/>
  <c r="V16" i="4"/>
  <c r="W2" i="4"/>
  <c r="W16" i="4"/>
  <c r="X2" i="4"/>
  <c r="X16" i="4"/>
  <c r="Y2" i="4"/>
  <c r="Y16" i="4"/>
  <c r="Z2" i="4"/>
  <c r="Z16" i="4"/>
  <c r="AA2" i="4"/>
  <c r="AA16" i="4"/>
  <c r="AB2" i="4"/>
  <c r="AB16" i="4"/>
  <c r="AC2" i="4"/>
  <c r="AC16" i="4"/>
  <c r="AD2" i="4"/>
  <c r="AD16" i="4"/>
  <c r="AE2" i="4"/>
  <c r="AE16" i="4"/>
  <c r="AF2" i="4"/>
  <c r="AF16" i="4"/>
  <c r="AG2" i="4"/>
  <c r="AG16" i="4"/>
  <c r="AH2" i="4"/>
  <c r="AH16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E17" i="4"/>
  <c r="E18" i="4"/>
  <c r="E16" i="4"/>
  <c r="B4" i="3"/>
  <c r="B23" i="1"/>
  <c r="AI4" i="1"/>
  <c r="AI5" i="1"/>
  <c r="AH4" i="1"/>
  <c r="AH5" i="1"/>
  <c r="AG4" i="1"/>
  <c r="AG5" i="1"/>
  <c r="AF4" i="1"/>
  <c r="AF5" i="1"/>
  <c r="AE4" i="1"/>
  <c r="AE5" i="1"/>
  <c r="AD4" i="1"/>
  <c r="AD5" i="1"/>
  <c r="AC4" i="1"/>
  <c r="AC5" i="1"/>
  <c r="AB4" i="1"/>
  <c r="AB5" i="1"/>
  <c r="AA4" i="1"/>
  <c r="AA5" i="1"/>
  <c r="Z4" i="1"/>
  <c r="Z5" i="1"/>
  <c r="Y4" i="1"/>
  <c r="Y5" i="1"/>
  <c r="X4" i="1"/>
  <c r="X5" i="1"/>
  <c r="W4" i="1"/>
  <c r="W5" i="1"/>
  <c r="V4" i="1"/>
  <c r="V5" i="1"/>
  <c r="U4" i="1"/>
  <c r="U5" i="1"/>
  <c r="T4" i="1"/>
  <c r="T5" i="1"/>
  <c r="S4" i="1"/>
  <c r="S5" i="1"/>
  <c r="R4" i="1"/>
  <c r="R5" i="1"/>
  <c r="Q4" i="1"/>
  <c r="Q5" i="1"/>
  <c r="P4" i="1"/>
  <c r="P5" i="1"/>
  <c r="O4" i="1"/>
  <c r="O5" i="1"/>
  <c r="N4" i="1"/>
  <c r="N5" i="1"/>
  <c r="M4" i="1"/>
  <c r="M5" i="1"/>
  <c r="L4" i="1"/>
  <c r="L5" i="1"/>
  <c r="K4" i="1"/>
  <c r="K5" i="1"/>
  <c r="B22" i="12"/>
  <c r="AI4" i="12"/>
  <c r="AI5" i="12"/>
  <c r="AH4" i="12"/>
  <c r="AH5" i="12"/>
  <c r="AG4" i="12"/>
  <c r="AG5" i="12"/>
  <c r="AF4" i="12"/>
  <c r="AF5" i="12"/>
  <c r="AE4" i="12"/>
  <c r="AE5" i="12"/>
  <c r="AD4" i="12"/>
  <c r="AD5" i="12"/>
  <c r="AC4" i="12"/>
  <c r="AC5" i="12"/>
  <c r="AB4" i="12"/>
  <c r="AB5" i="12"/>
  <c r="AA4" i="12"/>
  <c r="AA5" i="12"/>
  <c r="Z4" i="12"/>
  <c r="Z5" i="12"/>
  <c r="Y4" i="12"/>
  <c r="Y5" i="12"/>
  <c r="X4" i="12"/>
  <c r="X5" i="12"/>
  <c r="W4" i="12"/>
  <c r="W5" i="12"/>
  <c r="V4" i="12"/>
  <c r="V5" i="12"/>
  <c r="U4" i="12"/>
  <c r="U5" i="12"/>
  <c r="T4" i="12"/>
  <c r="T5" i="12"/>
  <c r="S4" i="12"/>
  <c r="S5" i="12"/>
  <c r="R4" i="12"/>
  <c r="R5" i="12"/>
  <c r="Q4" i="12"/>
  <c r="Q5" i="12"/>
  <c r="P4" i="12"/>
  <c r="P5" i="12"/>
  <c r="O4" i="12"/>
  <c r="O5" i="12"/>
  <c r="N4" i="12"/>
  <c r="N5" i="12"/>
  <c r="M4" i="12"/>
  <c r="M5" i="12"/>
  <c r="L4" i="12"/>
  <c r="L5" i="12"/>
  <c r="K4" i="12"/>
  <c r="K5" i="12"/>
  <c r="B22" i="9"/>
  <c r="AI4" i="9"/>
  <c r="AI5" i="9"/>
  <c r="AH4" i="9"/>
  <c r="AH5" i="9"/>
  <c r="AG4" i="9"/>
  <c r="AG5" i="9"/>
  <c r="AF4" i="9"/>
  <c r="AF5" i="9"/>
  <c r="AE4" i="9"/>
  <c r="AE5" i="9"/>
  <c r="AD4" i="9"/>
  <c r="AD5" i="9"/>
  <c r="AC4" i="9"/>
  <c r="AC5" i="9"/>
  <c r="AB4" i="9"/>
  <c r="AB5" i="9"/>
  <c r="AA4" i="9"/>
  <c r="AA5" i="9"/>
  <c r="Z4" i="9"/>
  <c r="Z5" i="9"/>
  <c r="Y4" i="9"/>
  <c r="Y5" i="9"/>
  <c r="X4" i="9"/>
  <c r="X5" i="9"/>
  <c r="W4" i="9"/>
  <c r="W5" i="9"/>
  <c r="V4" i="9"/>
  <c r="V5" i="9"/>
  <c r="U4" i="9"/>
  <c r="U5" i="9"/>
  <c r="T4" i="9"/>
  <c r="T5" i="9"/>
  <c r="S4" i="9"/>
  <c r="S5" i="9"/>
  <c r="R4" i="9"/>
  <c r="R5" i="9"/>
  <c r="Q4" i="9"/>
  <c r="Q5" i="9"/>
  <c r="P4" i="9"/>
  <c r="P5" i="9"/>
  <c r="O4" i="9"/>
  <c r="O5" i="9"/>
  <c r="N4" i="9"/>
  <c r="N5" i="9"/>
  <c r="M4" i="9"/>
  <c r="M5" i="9"/>
  <c r="L4" i="9"/>
  <c r="L5" i="9"/>
  <c r="K4" i="9"/>
  <c r="K5" i="9"/>
  <c r="B22" i="11"/>
  <c r="AI4" i="11"/>
  <c r="AI5" i="11"/>
  <c r="AH4" i="11"/>
  <c r="AH5" i="11"/>
  <c r="AG4" i="11"/>
  <c r="AG5" i="11"/>
  <c r="AF4" i="11"/>
  <c r="AF5" i="11"/>
  <c r="AE4" i="11"/>
  <c r="AE5" i="11"/>
  <c r="AD4" i="11"/>
  <c r="AD5" i="11"/>
  <c r="AC4" i="11"/>
  <c r="AC5" i="11"/>
  <c r="AB4" i="11"/>
  <c r="AB5" i="11"/>
  <c r="AA4" i="11"/>
  <c r="AA5" i="11"/>
  <c r="Z4" i="11"/>
  <c r="Z5" i="11"/>
  <c r="Y4" i="11"/>
  <c r="Y5" i="11"/>
  <c r="X4" i="11"/>
  <c r="X5" i="11"/>
  <c r="W4" i="11"/>
  <c r="W5" i="11"/>
  <c r="V4" i="11"/>
  <c r="V5" i="11"/>
  <c r="U4" i="11"/>
  <c r="U5" i="11"/>
  <c r="T4" i="11"/>
  <c r="T5" i="11"/>
  <c r="S4" i="11"/>
  <c r="S5" i="11"/>
  <c r="R4" i="11"/>
  <c r="R5" i="11"/>
  <c r="Q4" i="11"/>
  <c r="Q5" i="11"/>
  <c r="P4" i="11"/>
  <c r="P5" i="11"/>
  <c r="O4" i="11"/>
  <c r="O5" i="11"/>
  <c r="N4" i="11"/>
  <c r="N5" i="11"/>
  <c r="M4" i="11"/>
  <c r="M5" i="11"/>
  <c r="L4" i="11"/>
  <c r="L5" i="11"/>
  <c r="K4" i="11"/>
  <c r="K5" i="11"/>
  <c r="B22" i="8"/>
  <c r="AI4" i="8"/>
  <c r="AI5" i="8"/>
  <c r="AH4" i="8"/>
  <c r="AH5" i="8"/>
  <c r="AG4" i="8"/>
  <c r="AG5" i="8"/>
  <c r="AF4" i="8"/>
  <c r="AF5" i="8"/>
  <c r="AE4" i="8"/>
  <c r="AE5" i="8"/>
  <c r="AD4" i="8"/>
  <c r="AD5" i="8"/>
  <c r="AC4" i="8"/>
  <c r="AC5" i="8"/>
  <c r="AB4" i="8"/>
  <c r="AB5" i="8"/>
  <c r="AA4" i="8"/>
  <c r="AA5" i="8"/>
  <c r="Z4" i="8"/>
  <c r="Z5" i="8"/>
  <c r="Y4" i="8"/>
  <c r="Y5" i="8"/>
  <c r="X4" i="8"/>
  <c r="X5" i="8"/>
  <c r="W4" i="8"/>
  <c r="W5" i="8"/>
  <c r="V4" i="8"/>
  <c r="V5" i="8"/>
  <c r="U4" i="8"/>
  <c r="U5" i="8"/>
  <c r="T4" i="8"/>
  <c r="T5" i="8"/>
  <c r="S4" i="8"/>
  <c r="S5" i="8"/>
  <c r="R4" i="8"/>
  <c r="R5" i="8"/>
  <c r="Q4" i="8"/>
  <c r="Q5" i="8"/>
  <c r="P4" i="8"/>
  <c r="P5" i="8"/>
  <c r="O4" i="8"/>
  <c r="O5" i="8"/>
  <c r="N4" i="8"/>
  <c r="N5" i="8"/>
  <c r="M4" i="8"/>
  <c r="M5" i="8"/>
  <c r="L4" i="8"/>
  <c r="L5" i="8"/>
  <c r="K4" i="8"/>
  <c r="K5" i="8"/>
  <c r="B22" i="10"/>
  <c r="AI4" i="10"/>
  <c r="AI5" i="10"/>
  <c r="AH4" i="10"/>
  <c r="AH5" i="10"/>
  <c r="AG4" i="10"/>
  <c r="AG5" i="10"/>
  <c r="AF4" i="10"/>
  <c r="AF5" i="10"/>
  <c r="AE4" i="10"/>
  <c r="AE5" i="10"/>
  <c r="AD4" i="10"/>
  <c r="AD5" i="10"/>
  <c r="AC4" i="10"/>
  <c r="AC5" i="10"/>
  <c r="AB4" i="10"/>
  <c r="AB5" i="10"/>
  <c r="AA4" i="10"/>
  <c r="AA5" i="10"/>
  <c r="Z4" i="10"/>
  <c r="Z5" i="10"/>
  <c r="Y4" i="10"/>
  <c r="Y5" i="10"/>
  <c r="X4" i="10"/>
  <c r="X5" i="10"/>
  <c r="W4" i="10"/>
  <c r="W5" i="10"/>
  <c r="V4" i="10"/>
  <c r="V5" i="10"/>
  <c r="U4" i="10"/>
  <c r="U5" i="10"/>
  <c r="T4" i="10"/>
  <c r="T5" i="10"/>
  <c r="S4" i="10"/>
  <c r="S5" i="10"/>
  <c r="R4" i="10"/>
  <c r="R5" i="10"/>
  <c r="Q4" i="10"/>
  <c r="Q5" i="10"/>
  <c r="P4" i="10"/>
  <c r="P5" i="10"/>
  <c r="O4" i="10"/>
  <c r="O5" i="10"/>
  <c r="N4" i="10"/>
  <c r="N5" i="10"/>
  <c r="M4" i="10"/>
  <c r="M5" i="10"/>
  <c r="L4" i="10"/>
  <c r="L5" i="10"/>
  <c r="K4" i="10"/>
  <c r="K5" i="10"/>
  <c r="B22" i="7"/>
  <c r="AI4" i="7"/>
  <c r="AI5" i="7"/>
  <c r="AH4" i="7"/>
  <c r="AH5" i="7"/>
  <c r="AG4" i="7"/>
  <c r="AG5" i="7"/>
  <c r="AF4" i="7"/>
  <c r="AF5" i="7"/>
  <c r="AE4" i="7"/>
  <c r="AE5" i="7"/>
  <c r="AD4" i="7"/>
  <c r="AD5" i="7"/>
  <c r="AC4" i="7"/>
  <c r="AC5" i="7"/>
  <c r="AB4" i="7"/>
  <c r="AB5" i="7"/>
  <c r="AA4" i="7"/>
  <c r="AA5" i="7"/>
  <c r="Z4" i="7"/>
  <c r="Z5" i="7"/>
  <c r="Y4" i="7"/>
  <c r="Y5" i="7"/>
  <c r="X4" i="7"/>
  <c r="X5" i="7"/>
  <c r="W4" i="7"/>
  <c r="W5" i="7"/>
  <c r="V4" i="7"/>
  <c r="V5" i="7"/>
  <c r="U4" i="7"/>
  <c r="U5" i="7"/>
  <c r="T4" i="7"/>
  <c r="T5" i="7"/>
  <c r="S4" i="7"/>
  <c r="S5" i="7"/>
  <c r="R4" i="7"/>
  <c r="R5" i="7"/>
  <c r="Q4" i="7"/>
  <c r="Q5" i="7"/>
  <c r="P4" i="7"/>
  <c r="P5" i="7"/>
  <c r="O4" i="7"/>
  <c r="O5" i="7"/>
  <c r="N4" i="7"/>
  <c r="N5" i="7"/>
  <c r="M4" i="7"/>
  <c r="M5" i="7"/>
  <c r="L4" i="7"/>
  <c r="L5" i="7"/>
  <c r="K4" i="7"/>
  <c r="K5" i="7"/>
  <c r="K16" i="6"/>
  <c r="J16" i="6"/>
  <c r="I16" i="6"/>
  <c r="F16" i="6"/>
  <c r="E16" i="6"/>
  <c r="D16" i="6"/>
  <c r="G19" i="3"/>
  <c r="K34" i="6"/>
  <c r="K28" i="6"/>
  <c r="K22" i="6"/>
  <c r="K10" i="6"/>
  <c r="K7" i="12"/>
  <c r="I20" i="12"/>
  <c r="G20" i="12"/>
  <c r="H20" i="12"/>
  <c r="K12" i="12"/>
  <c r="K20" i="12"/>
  <c r="I19" i="12"/>
  <c r="G19" i="12"/>
  <c r="H19" i="12"/>
  <c r="K19" i="12"/>
  <c r="I18" i="12"/>
  <c r="G18" i="12"/>
  <c r="H18" i="12"/>
  <c r="K18" i="12"/>
  <c r="AI12" i="12"/>
  <c r="AI18" i="12"/>
  <c r="AH12" i="12"/>
  <c r="AH18" i="12"/>
  <c r="AG12" i="12"/>
  <c r="AG18" i="12"/>
  <c r="AF12" i="12"/>
  <c r="AF18" i="12"/>
  <c r="AE12" i="12"/>
  <c r="AE18" i="12"/>
  <c r="AD12" i="12"/>
  <c r="AD18" i="12"/>
  <c r="AC12" i="12"/>
  <c r="AC18" i="12"/>
  <c r="AB12" i="12"/>
  <c r="AB18" i="12"/>
  <c r="AA12" i="12"/>
  <c r="AA18" i="12"/>
  <c r="Z12" i="12"/>
  <c r="Z18" i="12"/>
  <c r="Y12" i="12"/>
  <c r="Y18" i="12"/>
  <c r="X12" i="12"/>
  <c r="X18" i="12"/>
  <c r="W12" i="12"/>
  <c r="W18" i="12"/>
  <c r="V12" i="12"/>
  <c r="V18" i="12"/>
  <c r="U12" i="12"/>
  <c r="U18" i="12"/>
  <c r="T12" i="12"/>
  <c r="T18" i="12"/>
  <c r="S12" i="12"/>
  <c r="S18" i="12"/>
  <c r="R12" i="12"/>
  <c r="R18" i="12"/>
  <c r="Q12" i="12"/>
  <c r="Q18" i="12"/>
  <c r="P12" i="12"/>
  <c r="P18" i="12"/>
  <c r="O12" i="12"/>
  <c r="O18" i="12"/>
  <c r="N12" i="12"/>
  <c r="N18" i="12"/>
  <c r="M12" i="12"/>
  <c r="M18" i="12"/>
  <c r="L12" i="12"/>
  <c r="L18" i="12"/>
  <c r="B6" i="12"/>
  <c r="B5" i="12"/>
  <c r="B4" i="12"/>
  <c r="Y14" i="12"/>
  <c r="Y20" i="12"/>
  <c r="Z20" i="12"/>
  <c r="AA20" i="12"/>
  <c r="AB20" i="12"/>
  <c r="AC20" i="12"/>
  <c r="AD20" i="12"/>
  <c r="AE20" i="12"/>
  <c r="AF20" i="12"/>
  <c r="AG20" i="12"/>
  <c r="AH20" i="12"/>
  <c r="AI20" i="12"/>
  <c r="X14" i="12"/>
  <c r="X20" i="12"/>
  <c r="W14" i="12"/>
  <c r="W20" i="12"/>
  <c r="V14" i="12"/>
  <c r="V20" i="12"/>
  <c r="U14" i="12"/>
  <c r="U20" i="12"/>
  <c r="T14" i="12"/>
  <c r="T20" i="12"/>
  <c r="S14" i="12"/>
  <c r="S20" i="12"/>
  <c r="R14" i="12"/>
  <c r="R20" i="12"/>
  <c r="Q14" i="12"/>
  <c r="Q20" i="12"/>
  <c r="P14" i="12"/>
  <c r="P20" i="12"/>
  <c r="O20" i="12"/>
  <c r="N20" i="12"/>
  <c r="M20" i="12"/>
  <c r="L20" i="12"/>
  <c r="Y13" i="12"/>
  <c r="Y19" i="12"/>
  <c r="Z19" i="12"/>
  <c r="AA19" i="12"/>
  <c r="AB19" i="12"/>
  <c r="AC19" i="12"/>
  <c r="AD19" i="12"/>
  <c r="AE19" i="12"/>
  <c r="AF19" i="12"/>
  <c r="AG19" i="12"/>
  <c r="AH19" i="12"/>
  <c r="AI19" i="12"/>
  <c r="X13" i="12"/>
  <c r="X19" i="12"/>
  <c r="W13" i="12"/>
  <c r="W19" i="12"/>
  <c r="V13" i="12"/>
  <c r="V19" i="12"/>
  <c r="U13" i="12"/>
  <c r="U19" i="12"/>
  <c r="T13" i="12"/>
  <c r="T19" i="12"/>
  <c r="S13" i="12"/>
  <c r="S19" i="12"/>
  <c r="R13" i="12"/>
  <c r="R19" i="12"/>
  <c r="Q13" i="12"/>
  <c r="Q19" i="12"/>
  <c r="P13" i="12"/>
  <c r="P19" i="12"/>
  <c r="O19" i="12"/>
  <c r="N19" i="12"/>
  <c r="M19" i="12"/>
  <c r="L19" i="12"/>
  <c r="AI14" i="12"/>
  <c r="AH14" i="12"/>
  <c r="AG14" i="12"/>
  <c r="AF14" i="12"/>
  <c r="AE14" i="12"/>
  <c r="AD14" i="12"/>
  <c r="AC14" i="12"/>
  <c r="AB14" i="12"/>
  <c r="AA14" i="12"/>
  <c r="Z14" i="12"/>
  <c r="O14" i="12"/>
  <c r="N14" i="12"/>
  <c r="M14" i="12"/>
  <c r="L14" i="12"/>
  <c r="K14" i="12"/>
  <c r="AI13" i="12"/>
  <c r="AH13" i="12"/>
  <c r="AG13" i="12"/>
  <c r="AF13" i="12"/>
  <c r="AE13" i="12"/>
  <c r="AD13" i="12"/>
  <c r="AC13" i="12"/>
  <c r="AB13" i="12"/>
  <c r="AA13" i="12"/>
  <c r="Z13" i="12"/>
  <c r="O13" i="12"/>
  <c r="N13" i="12"/>
  <c r="M13" i="12"/>
  <c r="L13" i="12"/>
  <c r="K13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B6" i="11"/>
  <c r="B5" i="11"/>
  <c r="B4" i="11"/>
  <c r="K7" i="11"/>
  <c r="I20" i="11"/>
  <c r="G20" i="11"/>
  <c r="H20" i="11"/>
  <c r="K12" i="11"/>
  <c r="K20" i="11"/>
  <c r="I19" i="11"/>
  <c r="G19" i="11"/>
  <c r="H19" i="11"/>
  <c r="K19" i="11"/>
  <c r="I18" i="11"/>
  <c r="G18" i="11"/>
  <c r="H18" i="11"/>
  <c r="K18" i="11"/>
  <c r="AI12" i="11"/>
  <c r="AI18" i="11"/>
  <c r="AH12" i="11"/>
  <c r="AH18" i="11"/>
  <c r="AG12" i="11"/>
  <c r="AG18" i="11"/>
  <c r="AF12" i="11"/>
  <c r="AF18" i="11"/>
  <c r="AE12" i="11"/>
  <c r="AE18" i="11"/>
  <c r="AD12" i="11"/>
  <c r="AD18" i="11"/>
  <c r="AC12" i="11"/>
  <c r="AC18" i="11"/>
  <c r="AB12" i="11"/>
  <c r="AB18" i="11"/>
  <c r="AA12" i="11"/>
  <c r="AA18" i="11"/>
  <c r="Z12" i="11"/>
  <c r="Z18" i="11"/>
  <c r="Y12" i="11"/>
  <c r="Y18" i="11"/>
  <c r="X12" i="11"/>
  <c r="X18" i="11"/>
  <c r="W12" i="11"/>
  <c r="W18" i="11"/>
  <c r="V12" i="11"/>
  <c r="V18" i="11"/>
  <c r="U12" i="11"/>
  <c r="U18" i="11"/>
  <c r="T12" i="11"/>
  <c r="T18" i="11"/>
  <c r="S12" i="11"/>
  <c r="S18" i="11"/>
  <c r="R12" i="11"/>
  <c r="R18" i="11"/>
  <c r="Q12" i="11"/>
  <c r="Q18" i="11"/>
  <c r="P12" i="11"/>
  <c r="P18" i="11"/>
  <c r="O12" i="11"/>
  <c r="O18" i="11"/>
  <c r="N12" i="11"/>
  <c r="N18" i="11"/>
  <c r="M12" i="11"/>
  <c r="M18" i="11"/>
  <c r="L12" i="11"/>
  <c r="L18" i="11"/>
  <c r="Y14" i="11"/>
  <c r="Y20" i="11"/>
  <c r="Z20" i="11"/>
  <c r="AA20" i="11"/>
  <c r="AB20" i="11"/>
  <c r="AC20" i="11"/>
  <c r="AD20" i="11"/>
  <c r="AE20" i="11"/>
  <c r="AF20" i="11"/>
  <c r="AG20" i="11"/>
  <c r="AH20" i="11"/>
  <c r="AI20" i="11"/>
  <c r="X14" i="11"/>
  <c r="X20" i="11"/>
  <c r="W14" i="11"/>
  <c r="W20" i="11"/>
  <c r="V14" i="11"/>
  <c r="V20" i="11"/>
  <c r="U14" i="11"/>
  <c r="U20" i="11"/>
  <c r="T14" i="11"/>
  <c r="T20" i="11"/>
  <c r="S14" i="11"/>
  <c r="S20" i="11"/>
  <c r="R14" i="11"/>
  <c r="R20" i="11"/>
  <c r="Q14" i="11"/>
  <c r="Q20" i="11"/>
  <c r="P14" i="11"/>
  <c r="P20" i="11"/>
  <c r="O20" i="11"/>
  <c r="N20" i="11"/>
  <c r="M20" i="11"/>
  <c r="L20" i="11"/>
  <c r="Y13" i="11"/>
  <c r="Y19" i="11"/>
  <c r="Z19" i="11"/>
  <c r="AA19" i="11"/>
  <c r="AB19" i="11"/>
  <c r="AC19" i="11"/>
  <c r="AD19" i="11"/>
  <c r="AE19" i="11"/>
  <c r="AF19" i="11"/>
  <c r="AG19" i="11"/>
  <c r="AH19" i="11"/>
  <c r="AI19" i="11"/>
  <c r="X13" i="11"/>
  <c r="X19" i="11"/>
  <c r="W13" i="11"/>
  <c r="W19" i="11"/>
  <c r="V13" i="11"/>
  <c r="V19" i="11"/>
  <c r="U13" i="11"/>
  <c r="U19" i="11"/>
  <c r="T13" i="11"/>
  <c r="T19" i="11"/>
  <c r="S13" i="11"/>
  <c r="S19" i="11"/>
  <c r="R13" i="11"/>
  <c r="R19" i="11"/>
  <c r="Q13" i="11"/>
  <c r="Q19" i="11"/>
  <c r="P13" i="11"/>
  <c r="P19" i="11"/>
  <c r="O19" i="11"/>
  <c r="N19" i="11"/>
  <c r="M19" i="11"/>
  <c r="L19" i="11"/>
  <c r="AI14" i="11"/>
  <c r="AH14" i="11"/>
  <c r="AG14" i="11"/>
  <c r="AF14" i="11"/>
  <c r="AE14" i="11"/>
  <c r="AD14" i="11"/>
  <c r="AC14" i="11"/>
  <c r="AB14" i="11"/>
  <c r="AA14" i="11"/>
  <c r="Z14" i="11"/>
  <c r="O14" i="11"/>
  <c r="N14" i="11"/>
  <c r="M14" i="11"/>
  <c r="L14" i="11"/>
  <c r="K14" i="11"/>
  <c r="AI13" i="11"/>
  <c r="AH13" i="11"/>
  <c r="AG13" i="11"/>
  <c r="AF13" i="11"/>
  <c r="AE13" i="11"/>
  <c r="AD13" i="11"/>
  <c r="AC13" i="11"/>
  <c r="AB13" i="11"/>
  <c r="AA13" i="11"/>
  <c r="Z13" i="11"/>
  <c r="O13" i="11"/>
  <c r="N13" i="11"/>
  <c r="M13" i="11"/>
  <c r="L13" i="11"/>
  <c r="K13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34" i="6"/>
  <c r="J28" i="6"/>
  <c r="J22" i="6"/>
  <c r="J10" i="6"/>
  <c r="I34" i="6"/>
  <c r="I28" i="6"/>
  <c r="I22" i="6"/>
  <c r="I10" i="6"/>
  <c r="B6" i="10"/>
  <c r="B5" i="10"/>
  <c r="B4" i="10"/>
  <c r="K7" i="10"/>
  <c r="I20" i="10"/>
  <c r="G20" i="10"/>
  <c r="H20" i="10"/>
  <c r="K12" i="10"/>
  <c r="K20" i="10"/>
  <c r="G19" i="10"/>
  <c r="H19" i="10"/>
  <c r="K19" i="10"/>
  <c r="I18" i="10"/>
  <c r="G18" i="10"/>
  <c r="H18" i="10"/>
  <c r="K18" i="10"/>
  <c r="AI12" i="10"/>
  <c r="AI18" i="10"/>
  <c r="AH12" i="10"/>
  <c r="AH18" i="10"/>
  <c r="AG12" i="10"/>
  <c r="AG18" i="10"/>
  <c r="AF12" i="10"/>
  <c r="AF18" i="10"/>
  <c r="AE12" i="10"/>
  <c r="AE18" i="10"/>
  <c r="AD12" i="10"/>
  <c r="AD18" i="10"/>
  <c r="AC12" i="10"/>
  <c r="AC18" i="10"/>
  <c r="AB12" i="10"/>
  <c r="AB18" i="10"/>
  <c r="AA12" i="10"/>
  <c r="AA18" i="10"/>
  <c r="Z12" i="10"/>
  <c r="Z18" i="10"/>
  <c r="Y12" i="10"/>
  <c r="Y18" i="10"/>
  <c r="X12" i="10"/>
  <c r="X18" i="10"/>
  <c r="W12" i="10"/>
  <c r="W18" i="10"/>
  <c r="V12" i="10"/>
  <c r="V18" i="10"/>
  <c r="U12" i="10"/>
  <c r="U18" i="10"/>
  <c r="T12" i="10"/>
  <c r="T18" i="10"/>
  <c r="S12" i="10"/>
  <c r="S18" i="10"/>
  <c r="R12" i="10"/>
  <c r="R18" i="10"/>
  <c r="Q12" i="10"/>
  <c r="Q18" i="10"/>
  <c r="P12" i="10"/>
  <c r="P18" i="10"/>
  <c r="O12" i="10"/>
  <c r="O18" i="10"/>
  <c r="N12" i="10"/>
  <c r="N18" i="10"/>
  <c r="M12" i="10"/>
  <c r="M18" i="10"/>
  <c r="L12" i="10"/>
  <c r="L18" i="10"/>
  <c r="Y14" i="10"/>
  <c r="Y20" i="10"/>
  <c r="Z20" i="10"/>
  <c r="AA20" i="10"/>
  <c r="AB20" i="10"/>
  <c r="AC20" i="10"/>
  <c r="AD20" i="10"/>
  <c r="AE20" i="10"/>
  <c r="AF20" i="10"/>
  <c r="AG20" i="10"/>
  <c r="AH20" i="10"/>
  <c r="AI20" i="10"/>
  <c r="X14" i="10"/>
  <c r="X20" i="10"/>
  <c r="W14" i="10"/>
  <c r="W20" i="10"/>
  <c r="V14" i="10"/>
  <c r="V20" i="10"/>
  <c r="U14" i="10"/>
  <c r="U20" i="10"/>
  <c r="T14" i="10"/>
  <c r="T20" i="10"/>
  <c r="S14" i="10"/>
  <c r="S20" i="10"/>
  <c r="R14" i="10"/>
  <c r="R20" i="10"/>
  <c r="Q14" i="10"/>
  <c r="Q20" i="10"/>
  <c r="P14" i="10"/>
  <c r="P20" i="10"/>
  <c r="O20" i="10"/>
  <c r="N20" i="10"/>
  <c r="M20" i="10"/>
  <c r="L20" i="10"/>
  <c r="Y13" i="10"/>
  <c r="Y19" i="10"/>
  <c r="Z19" i="10"/>
  <c r="AA19" i="10"/>
  <c r="AB19" i="10"/>
  <c r="AC19" i="10"/>
  <c r="AD19" i="10"/>
  <c r="AE19" i="10"/>
  <c r="AF19" i="10"/>
  <c r="AG19" i="10"/>
  <c r="AH19" i="10"/>
  <c r="AI19" i="10"/>
  <c r="X13" i="10"/>
  <c r="X19" i="10"/>
  <c r="W13" i="10"/>
  <c r="W19" i="10"/>
  <c r="V13" i="10"/>
  <c r="V19" i="10"/>
  <c r="U13" i="10"/>
  <c r="U19" i="10"/>
  <c r="T13" i="10"/>
  <c r="T19" i="10"/>
  <c r="S13" i="10"/>
  <c r="S19" i="10"/>
  <c r="R13" i="10"/>
  <c r="R19" i="10"/>
  <c r="Q13" i="10"/>
  <c r="Q19" i="10"/>
  <c r="P13" i="10"/>
  <c r="P19" i="10"/>
  <c r="O19" i="10"/>
  <c r="N19" i="10"/>
  <c r="M19" i="10"/>
  <c r="L19" i="10"/>
  <c r="AI14" i="10"/>
  <c r="AH14" i="10"/>
  <c r="AG14" i="10"/>
  <c r="AF14" i="10"/>
  <c r="AE14" i="10"/>
  <c r="AD14" i="10"/>
  <c r="AC14" i="10"/>
  <c r="AB14" i="10"/>
  <c r="AA14" i="10"/>
  <c r="Z14" i="10"/>
  <c r="O14" i="10"/>
  <c r="N14" i="10"/>
  <c r="M14" i="10"/>
  <c r="L14" i="10"/>
  <c r="K14" i="10"/>
  <c r="AI13" i="10"/>
  <c r="AH13" i="10"/>
  <c r="AG13" i="10"/>
  <c r="AF13" i="10"/>
  <c r="AE13" i="10"/>
  <c r="AD13" i="10"/>
  <c r="AC13" i="10"/>
  <c r="AB13" i="10"/>
  <c r="AA13" i="10"/>
  <c r="Z13" i="10"/>
  <c r="O13" i="10"/>
  <c r="N13" i="10"/>
  <c r="M13" i="10"/>
  <c r="L13" i="10"/>
  <c r="K13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E34" i="6"/>
  <c r="E28" i="6"/>
  <c r="E22" i="6"/>
  <c r="E10" i="6"/>
  <c r="D34" i="6"/>
  <c r="D28" i="6"/>
  <c r="D22" i="6"/>
  <c r="D10" i="6"/>
  <c r="F34" i="6"/>
  <c r="F28" i="6"/>
  <c r="F22" i="6"/>
  <c r="F10" i="6"/>
  <c r="B6" i="9"/>
  <c r="B5" i="9"/>
  <c r="B4" i="9"/>
  <c r="K7" i="9"/>
  <c r="I20" i="9"/>
  <c r="G20" i="9"/>
  <c r="H20" i="9"/>
  <c r="K12" i="9"/>
  <c r="K20" i="9"/>
  <c r="I19" i="9"/>
  <c r="G19" i="9"/>
  <c r="H19" i="9"/>
  <c r="K19" i="9"/>
  <c r="I18" i="9"/>
  <c r="G18" i="9"/>
  <c r="H18" i="9"/>
  <c r="K18" i="9"/>
  <c r="AI12" i="9"/>
  <c r="AI18" i="9"/>
  <c r="AH12" i="9"/>
  <c r="AH18" i="9"/>
  <c r="AG12" i="9"/>
  <c r="AG18" i="9"/>
  <c r="AF12" i="9"/>
  <c r="AF18" i="9"/>
  <c r="AE12" i="9"/>
  <c r="AE18" i="9"/>
  <c r="AD12" i="9"/>
  <c r="AD18" i="9"/>
  <c r="AC12" i="9"/>
  <c r="AC18" i="9"/>
  <c r="AB12" i="9"/>
  <c r="AB18" i="9"/>
  <c r="AA12" i="9"/>
  <c r="AA18" i="9"/>
  <c r="Z12" i="9"/>
  <c r="Z18" i="9"/>
  <c r="Y12" i="9"/>
  <c r="Y18" i="9"/>
  <c r="X12" i="9"/>
  <c r="X18" i="9"/>
  <c r="W12" i="9"/>
  <c r="W18" i="9"/>
  <c r="V12" i="9"/>
  <c r="V18" i="9"/>
  <c r="U12" i="9"/>
  <c r="U18" i="9"/>
  <c r="T12" i="9"/>
  <c r="T18" i="9"/>
  <c r="S12" i="9"/>
  <c r="S18" i="9"/>
  <c r="R12" i="9"/>
  <c r="R18" i="9"/>
  <c r="Q12" i="9"/>
  <c r="Q18" i="9"/>
  <c r="P12" i="9"/>
  <c r="P18" i="9"/>
  <c r="O12" i="9"/>
  <c r="O18" i="9"/>
  <c r="N12" i="9"/>
  <c r="N18" i="9"/>
  <c r="M12" i="9"/>
  <c r="M18" i="9"/>
  <c r="L12" i="9"/>
  <c r="L18" i="9"/>
  <c r="Y14" i="9"/>
  <c r="Y20" i="9"/>
  <c r="Z20" i="9"/>
  <c r="AA20" i="9"/>
  <c r="AB20" i="9"/>
  <c r="AC20" i="9"/>
  <c r="AD20" i="9"/>
  <c r="AE20" i="9"/>
  <c r="AF20" i="9"/>
  <c r="AG20" i="9"/>
  <c r="AH20" i="9"/>
  <c r="AI20" i="9"/>
  <c r="X14" i="9"/>
  <c r="X20" i="9"/>
  <c r="W14" i="9"/>
  <c r="W20" i="9"/>
  <c r="V14" i="9"/>
  <c r="V20" i="9"/>
  <c r="U14" i="9"/>
  <c r="U20" i="9"/>
  <c r="T14" i="9"/>
  <c r="T20" i="9"/>
  <c r="S14" i="9"/>
  <c r="S20" i="9"/>
  <c r="R14" i="9"/>
  <c r="R20" i="9"/>
  <c r="Q14" i="9"/>
  <c r="Q20" i="9"/>
  <c r="P14" i="9"/>
  <c r="P20" i="9"/>
  <c r="O20" i="9"/>
  <c r="N20" i="9"/>
  <c r="M20" i="9"/>
  <c r="L20" i="9"/>
  <c r="Y13" i="9"/>
  <c r="Y19" i="9"/>
  <c r="Z19" i="9"/>
  <c r="AA19" i="9"/>
  <c r="AB19" i="9"/>
  <c r="AC19" i="9"/>
  <c r="AD19" i="9"/>
  <c r="AE19" i="9"/>
  <c r="AF19" i="9"/>
  <c r="AG19" i="9"/>
  <c r="AH19" i="9"/>
  <c r="AI19" i="9"/>
  <c r="X13" i="9"/>
  <c r="X19" i="9"/>
  <c r="W13" i="9"/>
  <c r="W19" i="9"/>
  <c r="V13" i="9"/>
  <c r="V19" i="9"/>
  <c r="U13" i="9"/>
  <c r="U19" i="9"/>
  <c r="T13" i="9"/>
  <c r="T19" i="9"/>
  <c r="S13" i="9"/>
  <c r="S19" i="9"/>
  <c r="R13" i="9"/>
  <c r="R19" i="9"/>
  <c r="Q13" i="9"/>
  <c r="Q19" i="9"/>
  <c r="P13" i="9"/>
  <c r="P19" i="9"/>
  <c r="O19" i="9"/>
  <c r="N19" i="9"/>
  <c r="M19" i="9"/>
  <c r="L19" i="9"/>
  <c r="AI14" i="9"/>
  <c r="AH14" i="9"/>
  <c r="AG14" i="9"/>
  <c r="AF14" i="9"/>
  <c r="AE14" i="9"/>
  <c r="AD14" i="9"/>
  <c r="AC14" i="9"/>
  <c r="AB14" i="9"/>
  <c r="AA14" i="9"/>
  <c r="Z14" i="9"/>
  <c r="O14" i="9"/>
  <c r="N14" i="9"/>
  <c r="M14" i="9"/>
  <c r="L14" i="9"/>
  <c r="K14" i="9"/>
  <c r="AI13" i="9"/>
  <c r="AH13" i="9"/>
  <c r="AG13" i="9"/>
  <c r="AF13" i="9"/>
  <c r="AE13" i="9"/>
  <c r="AD13" i="9"/>
  <c r="AC13" i="9"/>
  <c r="AB13" i="9"/>
  <c r="AA13" i="9"/>
  <c r="Z13" i="9"/>
  <c r="O13" i="9"/>
  <c r="N13" i="9"/>
  <c r="M13" i="9"/>
  <c r="L13" i="9"/>
  <c r="K13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B6" i="8"/>
  <c r="B5" i="8"/>
  <c r="B4" i="8"/>
  <c r="K7" i="8"/>
  <c r="I20" i="8"/>
  <c r="G20" i="8"/>
  <c r="H20" i="8"/>
  <c r="K12" i="8"/>
  <c r="K20" i="8"/>
  <c r="I19" i="8"/>
  <c r="G19" i="8"/>
  <c r="H19" i="8"/>
  <c r="K19" i="8"/>
  <c r="I18" i="8"/>
  <c r="G18" i="8"/>
  <c r="H18" i="8"/>
  <c r="K18" i="8"/>
  <c r="AI12" i="8"/>
  <c r="AI18" i="8"/>
  <c r="AH12" i="8"/>
  <c r="AH18" i="8"/>
  <c r="AG12" i="8"/>
  <c r="AG18" i="8"/>
  <c r="AF12" i="8"/>
  <c r="AF18" i="8"/>
  <c r="AE12" i="8"/>
  <c r="AE18" i="8"/>
  <c r="AD12" i="8"/>
  <c r="AD18" i="8"/>
  <c r="AC12" i="8"/>
  <c r="AC18" i="8"/>
  <c r="AB12" i="8"/>
  <c r="AB18" i="8"/>
  <c r="AA12" i="8"/>
  <c r="AA18" i="8"/>
  <c r="Z12" i="8"/>
  <c r="Z18" i="8"/>
  <c r="Y12" i="8"/>
  <c r="Y18" i="8"/>
  <c r="X12" i="8"/>
  <c r="X18" i="8"/>
  <c r="W12" i="8"/>
  <c r="W18" i="8"/>
  <c r="V12" i="8"/>
  <c r="V18" i="8"/>
  <c r="U12" i="8"/>
  <c r="U18" i="8"/>
  <c r="T12" i="8"/>
  <c r="T18" i="8"/>
  <c r="S12" i="8"/>
  <c r="S18" i="8"/>
  <c r="R12" i="8"/>
  <c r="R18" i="8"/>
  <c r="Q12" i="8"/>
  <c r="Q18" i="8"/>
  <c r="P12" i="8"/>
  <c r="P18" i="8"/>
  <c r="O12" i="8"/>
  <c r="O18" i="8"/>
  <c r="N12" i="8"/>
  <c r="N18" i="8"/>
  <c r="M12" i="8"/>
  <c r="M18" i="8"/>
  <c r="L12" i="8"/>
  <c r="L18" i="8"/>
  <c r="Y14" i="8"/>
  <c r="Y20" i="8"/>
  <c r="Z20" i="8"/>
  <c r="AA20" i="8"/>
  <c r="AB20" i="8"/>
  <c r="AC20" i="8"/>
  <c r="AD20" i="8"/>
  <c r="AE20" i="8"/>
  <c r="AF20" i="8"/>
  <c r="AG20" i="8"/>
  <c r="AH20" i="8"/>
  <c r="AI20" i="8"/>
  <c r="X14" i="8"/>
  <c r="X20" i="8"/>
  <c r="W14" i="8"/>
  <c r="W20" i="8"/>
  <c r="V14" i="8"/>
  <c r="V20" i="8"/>
  <c r="U14" i="8"/>
  <c r="U20" i="8"/>
  <c r="T14" i="8"/>
  <c r="T20" i="8"/>
  <c r="S14" i="8"/>
  <c r="S20" i="8"/>
  <c r="R14" i="8"/>
  <c r="R20" i="8"/>
  <c r="Q14" i="8"/>
  <c r="Q20" i="8"/>
  <c r="P14" i="8"/>
  <c r="P20" i="8"/>
  <c r="O20" i="8"/>
  <c r="N20" i="8"/>
  <c r="M20" i="8"/>
  <c r="L20" i="8"/>
  <c r="Y13" i="8"/>
  <c r="Y19" i="8"/>
  <c r="Z19" i="8"/>
  <c r="AA19" i="8"/>
  <c r="AB19" i="8"/>
  <c r="AC19" i="8"/>
  <c r="AD19" i="8"/>
  <c r="AE19" i="8"/>
  <c r="AF19" i="8"/>
  <c r="AG19" i="8"/>
  <c r="AH19" i="8"/>
  <c r="AI19" i="8"/>
  <c r="X13" i="8"/>
  <c r="X19" i="8"/>
  <c r="W13" i="8"/>
  <c r="W19" i="8"/>
  <c r="V13" i="8"/>
  <c r="V19" i="8"/>
  <c r="U13" i="8"/>
  <c r="U19" i="8"/>
  <c r="T13" i="8"/>
  <c r="T19" i="8"/>
  <c r="S13" i="8"/>
  <c r="S19" i="8"/>
  <c r="R13" i="8"/>
  <c r="R19" i="8"/>
  <c r="Q13" i="8"/>
  <c r="Q19" i="8"/>
  <c r="P13" i="8"/>
  <c r="P19" i="8"/>
  <c r="O19" i="8"/>
  <c r="N19" i="8"/>
  <c r="M19" i="8"/>
  <c r="L19" i="8"/>
  <c r="AI14" i="8"/>
  <c r="AH14" i="8"/>
  <c r="AG14" i="8"/>
  <c r="AF14" i="8"/>
  <c r="AE14" i="8"/>
  <c r="AD14" i="8"/>
  <c r="AC14" i="8"/>
  <c r="AB14" i="8"/>
  <c r="AA14" i="8"/>
  <c r="Z14" i="8"/>
  <c r="O14" i="8"/>
  <c r="N14" i="8"/>
  <c r="M14" i="8"/>
  <c r="L14" i="8"/>
  <c r="K14" i="8"/>
  <c r="AI13" i="8"/>
  <c r="AH13" i="8"/>
  <c r="AG13" i="8"/>
  <c r="AF13" i="8"/>
  <c r="AE13" i="8"/>
  <c r="AD13" i="8"/>
  <c r="AC13" i="8"/>
  <c r="AB13" i="8"/>
  <c r="AA13" i="8"/>
  <c r="Z13" i="8"/>
  <c r="O13" i="8"/>
  <c r="N13" i="8"/>
  <c r="M13" i="8"/>
  <c r="L13" i="8"/>
  <c r="K13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B6" i="7"/>
  <c r="B5" i="7"/>
  <c r="B4" i="7"/>
  <c r="K7" i="7"/>
  <c r="I20" i="7"/>
  <c r="G20" i="7"/>
  <c r="H20" i="7"/>
  <c r="K12" i="7"/>
  <c r="K20" i="7"/>
  <c r="G19" i="7"/>
  <c r="H19" i="7"/>
  <c r="K19" i="7"/>
  <c r="I18" i="7"/>
  <c r="G18" i="7"/>
  <c r="H18" i="7"/>
  <c r="K18" i="7"/>
  <c r="AI12" i="7"/>
  <c r="AI18" i="7"/>
  <c r="AH12" i="7"/>
  <c r="AH18" i="7"/>
  <c r="AG12" i="7"/>
  <c r="AG18" i="7"/>
  <c r="AF12" i="7"/>
  <c r="AF18" i="7"/>
  <c r="AE12" i="7"/>
  <c r="AE18" i="7"/>
  <c r="AD12" i="7"/>
  <c r="AD18" i="7"/>
  <c r="AC12" i="7"/>
  <c r="AC18" i="7"/>
  <c r="AB12" i="7"/>
  <c r="AB18" i="7"/>
  <c r="AA12" i="7"/>
  <c r="AA18" i="7"/>
  <c r="Z12" i="7"/>
  <c r="Z18" i="7"/>
  <c r="Y12" i="7"/>
  <c r="Y18" i="7"/>
  <c r="X12" i="7"/>
  <c r="X18" i="7"/>
  <c r="W12" i="7"/>
  <c r="W18" i="7"/>
  <c r="V12" i="7"/>
  <c r="V18" i="7"/>
  <c r="U12" i="7"/>
  <c r="U18" i="7"/>
  <c r="T12" i="7"/>
  <c r="T18" i="7"/>
  <c r="S12" i="7"/>
  <c r="S18" i="7"/>
  <c r="R12" i="7"/>
  <c r="R18" i="7"/>
  <c r="Q12" i="7"/>
  <c r="Q18" i="7"/>
  <c r="P12" i="7"/>
  <c r="P18" i="7"/>
  <c r="O12" i="7"/>
  <c r="O18" i="7"/>
  <c r="N12" i="7"/>
  <c r="N18" i="7"/>
  <c r="M12" i="7"/>
  <c r="M18" i="7"/>
  <c r="L12" i="7"/>
  <c r="L18" i="7"/>
  <c r="Y14" i="7"/>
  <c r="Y20" i="7"/>
  <c r="Z20" i="7"/>
  <c r="AA20" i="7"/>
  <c r="AB20" i="7"/>
  <c r="AC20" i="7"/>
  <c r="AD20" i="7"/>
  <c r="AE20" i="7"/>
  <c r="AF20" i="7"/>
  <c r="AG20" i="7"/>
  <c r="AH20" i="7"/>
  <c r="AI20" i="7"/>
  <c r="X14" i="7"/>
  <c r="X20" i="7"/>
  <c r="W14" i="7"/>
  <c r="W20" i="7"/>
  <c r="V14" i="7"/>
  <c r="V20" i="7"/>
  <c r="U14" i="7"/>
  <c r="U20" i="7"/>
  <c r="T14" i="7"/>
  <c r="T20" i="7"/>
  <c r="S14" i="7"/>
  <c r="S20" i="7"/>
  <c r="R14" i="7"/>
  <c r="R20" i="7"/>
  <c r="Q14" i="7"/>
  <c r="Q20" i="7"/>
  <c r="P14" i="7"/>
  <c r="P20" i="7"/>
  <c r="O20" i="7"/>
  <c r="N20" i="7"/>
  <c r="M20" i="7"/>
  <c r="L20" i="7"/>
  <c r="Y13" i="7"/>
  <c r="Y19" i="7"/>
  <c r="Z19" i="7"/>
  <c r="AA19" i="7"/>
  <c r="AB19" i="7"/>
  <c r="AC19" i="7"/>
  <c r="AD19" i="7"/>
  <c r="AE19" i="7"/>
  <c r="AF19" i="7"/>
  <c r="AG19" i="7"/>
  <c r="AH19" i="7"/>
  <c r="AI19" i="7"/>
  <c r="X13" i="7"/>
  <c r="X19" i="7"/>
  <c r="W13" i="7"/>
  <c r="W19" i="7"/>
  <c r="V13" i="7"/>
  <c r="V19" i="7"/>
  <c r="U13" i="7"/>
  <c r="U19" i="7"/>
  <c r="T13" i="7"/>
  <c r="T19" i="7"/>
  <c r="S13" i="7"/>
  <c r="S19" i="7"/>
  <c r="R13" i="7"/>
  <c r="R19" i="7"/>
  <c r="Q13" i="7"/>
  <c r="Q19" i="7"/>
  <c r="P13" i="7"/>
  <c r="P19" i="7"/>
  <c r="O19" i="7"/>
  <c r="N19" i="7"/>
  <c r="M19" i="7"/>
  <c r="L19" i="7"/>
  <c r="AI14" i="7"/>
  <c r="AH14" i="7"/>
  <c r="AG14" i="7"/>
  <c r="AF14" i="7"/>
  <c r="AE14" i="7"/>
  <c r="AD14" i="7"/>
  <c r="AC14" i="7"/>
  <c r="AB14" i="7"/>
  <c r="AA14" i="7"/>
  <c r="Z14" i="7"/>
  <c r="O14" i="7"/>
  <c r="N14" i="7"/>
  <c r="M14" i="7"/>
  <c r="L14" i="7"/>
  <c r="K14" i="7"/>
  <c r="AI13" i="7"/>
  <c r="AH13" i="7"/>
  <c r="AG13" i="7"/>
  <c r="AF13" i="7"/>
  <c r="AE13" i="7"/>
  <c r="AD13" i="7"/>
  <c r="AC13" i="7"/>
  <c r="AB13" i="7"/>
  <c r="AA13" i="7"/>
  <c r="Z13" i="7"/>
  <c r="O13" i="7"/>
  <c r="N13" i="7"/>
  <c r="M13" i="7"/>
  <c r="L13" i="7"/>
  <c r="K13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H19" i="3"/>
  <c r="I20" i="3"/>
  <c r="G20" i="3"/>
  <c r="H20" i="3"/>
  <c r="I18" i="3"/>
  <c r="H18" i="3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E15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F14" i="4"/>
  <c r="G14" i="4"/>
  <c r="H14" i="4"/>
  <c r="I14" i="4"/>
  <c r="J14" i="4"/>
  <c r="K14" i="4"/>
  <c r="L14" i="4"/>
  <c r="M14" i="4"/>
  <c r="N14" i="4"/>
  <c r="O14" i="4"/>
  <c r="P14" i="4"/>
  <c r="Q14" i="4"/>
  <c r="E14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K12" i="1"/>
  <c r="K18" i="1"/>
  <c r="B6" i="3"/>
  <c r="B5" i="3"/>
  <c r="K7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B30" i="1"/>
  <c r="K6" i="1"/>
  <c r="K19" i="1"/>
  <c r="K20" i="1"/>
  <c r="K8" i="1"/>
  <c r="K7" i="1"/>
  <c r="L7" i="1"/>
  <c r="L19" i="1"/>
  <c r="L12" i="1"/>
  <c r="L18" i="1"/>
  <c r="L20" i="1"/>
  <c r="L8" i="1"/>
  <c r="M7" i="1"/>
  <c r="M19" i="1"/>
  <c r="M12" i="1"/>
  <c r="M18" i="1"/>
  <c r="M20" i="1"/>
  <c r="M8" i="1"/>
  <c r="N7" i="1"/>
  <c r="N19" i="1"/>
  <c r="N12" i="1"/>
  <c r="N18" i="1"/>
  <c r="N20" i="1"/>
  <c r="N8" i="1"/>
  <c r="O7" i="1"/>
  <c r="O19" i="1"/>
  <c r="O12" i="1"/>
  <c r="O18" i="1"/>
  <c r="O20" i="1"/>
  <c r="O8" i="1"/>
  <c r="P7" i="1"/>
  <c r="P19" i="1"/>
  <c r="P12" i="1"/>
  <c r="P18" i="1"/>
  <c r="P20" i="1"/>
  <c r="P8" i="1"/>
  <c r="Q7" i="1"/>
  <c r="Q19" i="1"/>
  <c r="Q12" i="1"/>
  <c r="Q18" i="1"/>
  <c r="Q20" i="1"/>
  <c r="Q8" i="1"/>
  <c r="R7" i="1"/>
  <c r="R19" i="1"/>
  <c r="R12" i="1"/>
  <c r="R18" i="1"/>
  <c r="R20" i="1"/>
  <c r="R8" i="1"/>
  <c r="S7" i="1"/>
  <c r="S19" i="1"/>
  <c r="S12" i="1"/>
  <c r="S18" i="1"/>
  <c r="S20" i="1"/>
  <c r="S8" i="1"/>
  <c r="T7" i="1"/>
  <c r="T19" i="1"/>
  <c r="T12" i="1"/>
  <c r="T18" i="1"/>
  <c r="T20" i="1"/>
  <c r="T8" i="1"/>
  <c r="U7" i="1"/>
  <c r="U19" i="1"/>
  <c r="U12" i="1"/>
  <c r="U18" i="1"/>
  <c r="U20" i="1"/>
  <c r="U8" i="1"/>
  <c r="V7" i="1"/>
  <c r="V19" i="1"/>
  <c r="V12" i="1"/>
  <c r="V18" i="1"/>
  <c r="V20" i="1"/>
  <c r="V8" i="1"/>
  <c r="W7" i="1"/>
  <c r="W19" i="1"/>
  <c r="W12" i="1"/>
  <c r="W18" i="1"/>
  <c r="W20" i="1"/>
  <c r="W8" i="1"/>
  <c r="X7" i="1"/>
  <c r="X19" i="1"/>
  <c r="X12" i="1"/>
  <c r="X18" i="1"/>
  <c r="X20" i="1"/>
  <c r="X8" i="1"/>
  <c r="Y7" i="1"/>
  <c r="Y19" i="1"/>
  <c r="Y12" i="1"/>
  <c r="Y18" i="1"/>
  <c r="Y20" i="1"/>
  <c r="Y8" i="1"/>
  <c r="Z7" i="1"/>
  <c r="Z19" i="1"/>
  <c r="Z12" i="1"/>
  <c r="Z18" i="1"/>
  <c r="Z20" i="1"/>
  <c r="Z8" i="1"/>
  <c r="AA7" i="1"/>
  <c r="AA19" i="1"/>
  <c r="AA12" i="1"/>
  <c r="AA18" i="1"/>
  <c r="AA20" i="1"/>
  <c r="AA8" i="1"/>
  <c r="AB7" i="1"/>
  <c r="AB19" i="1"/>
  <c r="AB12" i="1"/>
  <c r="AB18" i="1"/>
  <c r="AB20" i="1"/>
  <c r="AB8" i="1"/>
  <c r="AC7" i="1"/>
  <c r="AC19" i="1"/>
  <c r="AC12" i="1"/>
  <c r="AC18" i="1"/>
  <c r="AC20" i="1"/>
  <c r="AC8" i="1"/>
  <c r="AD7" i="1"/>
  <c r="AD19" i="1"/>
  <c r="AD12" i="1"/>
  <c r="AD18" i="1"/>
  <c r="AD20" i="1"/>
  <c r="AD8" i="1"/>
  <c r="AE7" i="1"/>
  <c r="AE19" i="1"/>
  <c r="AE12" i="1"/>
  <c r="AE18" i="1"/>
  <c r="AE20" i="1"/>
  <c r="AE8" i="1"/>
  <c r="AF7" i="1"/>
  <c r="AF19" i="1"/>
  <c r="AF12" i="1"/>
  <c r="AF18" i="1"/>
  <c r="AF20" i="1"/>
  <c r="AF8" i="1"/>
  <c r="AG7" i="1"/>
  <c r="AG19" i="1"/>
  <c r="AG12" i="1"/>
  <c r="AG18" i="1"/>
  <c r="AG20" i="1"/>
  <c r="AG8" i="1"/>
  <c r="AH7" i="1"/>
  <c r="AH19" i="1"/>
  <c r="AH12" i="1"/>
  <c r="AH18" i="1"/>
  <c r="AH20" i="1"/>
  <c r="AH8" i="1"/>
  <c r="AI19" i="1"/>
  <c r="AI12" i="1"/>
  <c r="AI18" i="1"/>
  <c r="AI20" i="1"/>
  <c r="AI8" i="1"/>
  <c r="AI7" i="1"/>
  <c r="B13" i="1"/>
  <c r="B6" i="1"/>
  <c r="AI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G31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G32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G33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G35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H35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I35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G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H36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I36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G37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H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I37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B38" i="1"/>
  <c r="B50" i="1"/>
  <c r="B36" i="1"/>
  <c r="B54" i="1"/>
  <c r="B37" i="1"/>
  <c r="B55" i="1"/>
  <c r="B39" i="1"/>
  <c r="B51" i="1"/>
  <c r="B40" i="1"/>
  <c r="B52" i="1"/>
  <c r="C52" i="1"/>
  <c r="C51" i="1"/>
  <c r="C50" i="1"/>
  <c r="C4" i="1"/>
  <c r="C5" i="1"/>
  <c r="C6" i="1"/>
  <c r="B35" i="1"/>
  <c r="B53" i="1"/>
  <c r="C55" i="1"/>
  <c r="C54" i="1"/>
  <c r="C11" i="1"/>
  <c r="C12" i="1"/>
  <c r="C13" i="1"/>
  <c r="C53" i="1"/>
  <c r="B34" i="1"/>
  <c r="B33" i="1"/>
  <c r="B43" i="1"/>
  <c r="C14" i="1"/>
  <c r="C15" i="1"/>
  <c r="B46" i="1"/>
  <c r="B45" i="1"/>
  <c r="B47" i="1"/>
  <c r="C46" i="1"/>
  <c r="C47" i="1"/>
  <c r="C7" i="1"/>
  <c r="C8" i="1"/>
  <c r="C45" i="1"/>
  <c r="J53" i="1"/>
  <c r="H53" i="1"/>
  <c r="H39" i="1"/>
  <c r="H47" i="1"/>
  <c r="H33" i="1"/>
  <c r="I41" i="1"/>
  <c r="I52" i="1"/>
  <c r="I53" i="1"/>
  <c r="I39" i="1"/>
  <c r="I47" i="1"/>
  <c r="B48" i="1"/>
  <c r="H54" i="1"/>
  <c r="H48" i="1"/>
  <c r="I54" i="1"/>
  <c r="I40" i="1"/>
  <c r="I48" i="1"/>
  <c r="G41" i="1"/>
  <c r="J55" i="1"/>
  <c r="G55" i="1"/>
  <c r="G49" i="1"/>
  <c r="H41" i="1"/>
  <c r="H55" i="1"/>
  <c r="H49" i="1"/>
  <c r="I55" i="1"/>
  <c r="I49" i="1"/>
  <c r="G53" i="1"/>
  <c r="G47" i="1"/>
  <c r="B34" i="7"/>
  <c r="B21" i="7"/>
  <c r="B34" i="8"/>
  <c r="B21" i="8"/>
  <c r="B34" i="9"/>
  <c r="B21" i="9"/>
  <c r="B34" i="10"/>
  <c r="B21" i="10"/>
  <c r="B34" i="11"/>
  <c r="B21" i="11"/>
  <c r="B34" i="12"/>
  <c r="B21" i="12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B34" i="3"/>
  <c r="B21" i="3"/>
  <c r="B6" i="4"/>
  <c r="B7" i="4"/>
  <c r="B8" i="4"/>
  <c r="B9" i="4"/>
  <c r="B10" i="4"/>
  <c r="B5" i="4"/>
  <c r="B1" i="4"/>
  <c r="B10" i="5"/>
  <c r="H3" i="5"/>
  <c r="B11" i="7"/>
  <c r="B12" i="7"/>
  <c r="B13" i="7"/>
  <c r="B11" i="10"/>
  <c r="B12" i="10"/>
  <c r="B13" i="10"/>
  <c r="B11" i="8"/>
  <c r="B12" i="8"/>
  <c r="B13" i="8"/>
  <c r="B11" i="11"/>
  <c r="B12" i="11"/>
  <c r="B13" i="11"/>
  <c r="B11" i="9"/>
  <c r="B12" i="9"/>
  <c r="B13" i="9"/>
  <c r="B11" i="12"/>
  <c r="B12" i="12"/>
  <c r="B13" i="12"/>
  <c r="B13" i="3"/>
  <c r="C4" i="7"/>
  <c r="F4" i="7"/>
  <c r="C5" i="7"/>
  <c r="F5" i="7"/>
  <c r="C6" i="7"/>
  <c r="F6" i="7"/>
  <c r="C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F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C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C12" i="7"/>
  <c r="C13" i="7"/>
  <c r="C14" i="7"/>
  <c r="C15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B27" i="7"/>
  <c r="C27" i="7"/>
  <c r="E27" i="7"/>
  <c r="F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B28" i="7"/>
  <c r="C28" i="7"/>
  <c r="E28" i="7"/>
  <c r="F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B29" i="7"/>
  <c r="C29" i="7"/>
  <c r="E29" i="7"/>
  <c r="F29" i="7"/>
  <c r="C30" i="7"/>
  <c r="B31" i="7"/>
  <c r="G31" i="7"/>
  <c r="H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G32" i="7"/>
  <c r="H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B33" i="7"/>
  <c r="G33" i="7"/>
  <c r="H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B35" i="7"/>
  <c r="G35" i="7"/>
  <c r="H35" i="7"/>
  <c r="I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B36" i="7"/>
  <c r="C36" i="7"/>
  <c r="E36" i="7"/>
  <c r="G36" i="7"/>
  <c r="H36" i="7"/>
  <c r="I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B37" i="7"/>
  <c r="C37" i="7"/>
  <c r="E37" i="7"/>
  <c r="G37" i="7"/>
  <c r="H37" i="7"/>
  <c r="I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B38" i="7"/>
  <c r="C38" i="7"/>
  <c r="E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B39" i="7"/>
  <c r="C39" i="7"/>
  <c r="E39" i="7"/>
  <c r="G39" i="7"/>
  <c r="H39" i="7"/>
  <c r="I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B40" i="7"/>
  <c r="C40" i="7"/>
  <c r="E40" i="7"/>
  <c r="G40" i="7"/>
  <c r="H40" i="7"/>
  <c r="I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B41" i="7"/>
  <c r="C41" i="7"/>
  <c r="E41" i="7"/>
  <c r="G41" i="7"/>
  <c r="H41" i="7"/>
  <c r="I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B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B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B47" i="7"/>
  <c r="G47" i="7"/>
  <c r="H47" i="7"/>
  <c r="I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B48" i="7"/>
  <c r="C48" i="7"/>
  <c r="G48" i="7"/>
  <c r="H48" i="7"/>
  <c r="I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B49" i="7"/>
  <c r="C49" i="7"/>
  <c r="G49" i="7"/>
  <c r="H49" i="7"/>
  <c r="I49" i="7"/>
  <c r="B50" i="7"/>
  <c r="C50" i="7"/>
  <c r="B51" i="7"/>
  <c r="G52" i="7"/>
  <c r="H52" i="7"/>
  <c r="I52" i="7"/>
  <c r="B53" i="7"/>
  <c r="C53" i="7"/>
  <c r="G53" i="7"/>
  <c r="H53" i="7"/>
  <c r="I53" i="7"/>
  <c r="J53" i="7" a="1"/>
  <c r="J53" i="7"/>
  <c r="B54" i="7"/>
  <c r="C54" i="7"/>
  <c r="G54" i="7"/>
  <c r="H54" i="7"/>
  <c r="I54" i="7"/>
  <c r="J54" i="7"/>
  <c r="B55" i="7"/>
  <c r="C55" i="7"/>
  <c r="G55" i="7"/>
  <c r="H55" i="7"/>
  <c r="I55" i="7"/>
  <c r="J55" i="7"/>
  <c r="B56" i="7"/>
  <c r="C56" i="7"/>
  <c r="B57" i="7"/>
  <c r="C57" i="7"/>
  <c r="G57" i="7" a="1"/>
  <c r="G57" i="7"/>
  <c r="H57" i="7"/>
  <c r="I57" i="7"/>
  <c r="B58" i="7"/>
  <c r="C58" i="7"/>
  <c r="G58" i="7"/>
  <c r="H58" i="7"/>
  <c r="I58" i="7"/>
  <c r="G59" i="7"/>
  <c r="H59" i="7"/>
  <c r="I59" i="7"/>
  <c r="B60" i="7"/>
  <c r="B61" i="7"/>
  <c r="B62" i="7"/>
  <c r="C4" i="10"/>
  <c r="F4" i="10"/>
  <c r="G4" i="10"/>
  <c r="C5" i="10"/>
  <c r="F5" i="10"/>
  <c r="G5" i="10"/>
  <c r="C6" i="10"/>
  <c r="F6" i="10"/>
  <c r="G6" i="10"/>
  <c r="C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F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C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C12" i="10"/>
  <c r="C13" i="10"/>
  <c r="C14" i="10"/>
  <c r="C15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B27" i="10"/>
  <c r="C27" i="10"/>
  <c r="E27" i="10"/>
  <c r="F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B28" i="10"/>
  <c r="C28" i="10"/>
  <c r="E28" i="10"/>
  <c r="F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B29" i="10"/>
  <c r="C29" i="10"/>
  <c r="E29" i="10"/>
  <c r="F29" i="10"/>
  <c r="C30" i="10"/>
  <c r="B31" i="10"/>
  <c r="G31" i="10"/>
  <c r="H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G32" i="10"/>
  <c r="H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B33" i="10"/>
  <c r="G33" i="10"/>
  <c r="H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B35" i="10"/>
  <c r="G35" i="10"/>
  <c r="H35" i="10"/>
  <c r="I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B36" i="10"/>
  <c r="C36" i="10"/>
  <c r="E36" i="10"/>
  <c r="G36" i="10"/>
  <c r="H36" i="10"/>
  <c r="I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B37" i="10"/>
  <c r="C37" i="10"/>
  <c r="E37" i="10"/>
  <c r="G37" i="10"/>
  <c r="H37" i="10"/>
  <c r="I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B38" i="10"/>
  <c r="C38" i="10"/>
  <c r="E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B39" i="10"/>
  <c r="C39" i="10"/>
  <c r="E39" i="10"/>
  <c r="G39" i="10"/>
  <c r="H39" i="10"/>
  <c r="I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B40" i="10"/>
  <c r="C40" i="10"/>
  <c r="E40" i="10"/>
  <c r="G40" i="10"/>
  <c r="H40" i="10"/>
  <c r="I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B41" i="10"/>
  <c r="C41" i="10"/>
  <c r="E41" i="10"/>
  <c r="G41" i="10"/>
  <c r="H41" i="10"/>
  <c r="I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B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B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B47" i="10"/>
  <c r="G47" i="10"/>
  <c r="H47" i="10"/>
  <c r="I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B48" i="10"/>
  <c r="C48" i="10"/>
  <c r="G48" i="10"/>
  <c r="H48" i="10"/>
  <c r="I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B49" i="10"/>
  <c r="C49" i="10"/>
  <c r="G49" i="10"/>
  <c r="H49" i="10"/>
  <c r="I49" i="10"/>
  <c r="B50" i="10"/>
  <c r="C50" i="10"/>
  <c r="B51" i="10"/>
  <c r="G52" i="10"/>
  <c r="H52" i="10"/>
  <c r="I52" i="10"/>
  <c r="B53" i="10"/>
  <c r="C53" i="10"/>
  <c r="G53" i="10"/>
  <c r="H53" i="10"/>
  <c r="I53" i="10"/>
  <c r="J53" i="10" a="1"/>
  <c r="J53" i="10"/>
  <c r="B54" i="10"/>
  <c r="C54" i="10"/>
  <c r="G54" i="10"/>
  <c r="H54" i="10"/>
  <c r="I54" i="10"/>
  <c r="J54" i="10"/>
  <c r="B55" i="10"/>
  <c r="C55" i="10"/>
  <c r="G55" i="10"/>
  <c r="H55" i="10"/>
  <c r="I55" i="10"/>
  <c r="J55" i="10"/>
  <c r="B56" i="10"/>
  <c r="C56" i="10"/>
  <c r="B57" i="10"/>
  <c r="C57" i="10"/>
  <c r="G57" i="10" a="1"/>
  <c r="G57" i="10"/>
  <c r="H57" i="10"/>
  <c r="I57" i="10"/>
  <c r="B58" i="10"/>
  <c r="C58" i="10"/>
  <c r="G58" i="10"/>
  <c r="H58" i="10"/>
  <c r="I58" i="10"/>
  <c r="G59" i="10"/>
  <c r="H59" i="10"/>
  <c r="I59" i="10"/>
  <c r="B60" i="10"/>
  <c r="B61" i="10"/>
  <c r="B62" i="10"/>
  <c r="C4" i="8"/>
  <c r="F4" i="8"/>
  <c r="C5" i="8"/>
  <c r="F5" i="8"/>
  <c r="C6" i="8"/>
  <c r="F6" i="8"/>
  <c r="C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F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C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C12" i="8"/>
  <c r="C13" i="8"/>
  <c r="C14" i="8"/>
  <c r="C15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B27" i="8"/>
  <c r="C27" i="8"/>
  <c r="E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B28" i="8"/>
  <c r="C28" i="8"/>
  <c r="E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B29" i="8"/>
  <c r="C29" i="8"/>
  <c r="E29" i="8"/>
  <c r="C30" i="8"/>
  <c r="B31" i="8"/>
  <c r="G31" i="8"/>
  <c r="H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G32" i="8"/>
  <c r="H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B33" i="8"/>
  <c r="G33" i="8"/>
  <c r="H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B35" i="8"/>
  <c r="G35" i="8"/>
  <c r="H35" i="8"/>
  <c r="I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B36" i="8"/>
  <c r="C36" i="8"/>
  <c r="E36" i="8"/>
  <c r="G36" i="8"/>
  <c r="H36" i="8"/>
  <c r="I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B37" i="8"/>
  <c r="C37" i="8"/>
  <c r="E37" i="8"/>
  <c r="G37" i="8"/>
  <c r="H37" i="8"/>
  <c r="I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B38" i="8"/>
  <c r="C38" i="8"/>
  <c r="E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B39" i="8"/>
  <c r="C39" i="8"/>
  <c r="E39" i="8"/>
  <c r="G39" i="8"/>
  <c r="H39" i="8"/>
  <c r="I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B40" i="8"/>
  <c r="C40" i="8"/>
  <c r="E40" i="8"/>
  <c r="G40" i="8"/>
  <c r="H40" i="8"/>
  <c r="I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B41" i="8"/>
  <c r="C41" i="8"/>
  <c r="E41" i="8"/>
  <c r="G41" i="8"/>
  <c r="H41" i="8"/>
  <c r="I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B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B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B47" i="8"/>
  <c r="G47" i="8"/>
  <c r="H47" i="8"/>
  <c r="I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B48" i="8"/>
  <c r="C48" i="8"/>
  <c r="G48" i="8"/>
  <c r="H48" i="8"/>
  <c r="I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B49" i="8"/>
  <c r="C49" i="8"/>
  <c r="G49" i="8"/>
  <c r="H49" i="8"/>
  <c r="I49" i="8"/>
  <c r="B50" i="8"/>
  <c r="C50" i="8"/>
  <c r="B51" i="8"/>
  <c r="G52" i="8"/>
  <c r="H52" i="8"/>
  <c r="I52" i="8"/>
  <c r="B53" i="8"/>
  <c r="C53" i="8"/>
  <c r="G53" i="8"/>
  <c r="H53" i="8"/>
  <c r="I53" i="8"/>
  <c r="J53" i="8" a="1"/>
  <c r="J53" i="8"/>
  <c r="B54" i="8"/>
  <c r="C54" i="8"/>
  <c r="G54" i="8"/>
  <c r="H54" i="8"/>
  <c r="I54" i="8"/>
  <c r="J54" i="8"/>
  <c r="B55" i="8"/>
  <c r="C55" i="8"/>
  <c r="G55" i="8"/>
  <c r="H55" i="8"/>
  <c r="I55" i="8"/>
  <c r="J55" i="8"/>
  <c r="B56" i="8"/>
  <c r="C56" i="8"/>
  <c r="B57" i="8"/>
  <c r="C57" i="8"/>
  <c r="G57" i="8" a="1"/>
  <c r="G57" i="8"/>
  <c r="H57" i="8"/>
  <c r="I57" i="8"/>
  <c r="B58" i="8"/>
  <c r="C58" i="8"/>
  <c r="G58" i="8"/>
  <c r="H58" i="8"/>
  <c r="I58" i="8"/>
  <c r="G59" i="8"/>
  <c r="H59" i="8"/>
  <c r="I59" i="8"/>
  <c r="B60" i="8"/>
  <c r="B61" i="8"/>
  <c r="B62" i="8"/>
  <c r="C4" i="11"/>
  <c r="F4" i="11"/>
  <c r="C5" i="11"/>
  <c r="F5" i="11"/>
  <c r="C6" i="11"/>
  <c r="F6" i="11"/>
  <c r="C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F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C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C12" i="11"/>
  <c r="C13" i="11"/>
  <c r="C14" i="11"/>
  <c r="C15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B27" i="11"/>
  <c r="C27" i="11"/>
  <c r="E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B28" i="11"/>
  <c r="C28" i="11"/>
  <c r="E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B29" i="11"/>
  <c r="C29" i="11"/>
  <c r="E29" i="11"/>
  <c r="C30" i="11"/>
  <c r="B31" i="11"/>
  <c r="G31" i="11"/>
  <c r="H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G32" i="11"/>
  <c r="H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B33" i="11"/>
  <c r="G33" i="11"/>
  <c r="H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B35" i="11"/>
  <c r="G35" i="11"/>
  <c r="H35" i="11"/>
  <c r="I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B36" i="11"/>
  <c r="C36" i="11"/>
  <c r="E36" i="11"/>
  <c r="G36" i="11"/>
  <c r="H36" i="11"/>
  <c r="I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B37" i="11"/>
  <c r="C37" i="11"/>
  <c r="E37" i="11"/>
  <c r="G37" i="11"/>
  <c r="H37" i="11"/>
  <c r="I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B38" i="11"/>
  <c r="C38" i="11"/>
  <c r="E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B39" i="11"/>
  <c r="C39" i="11"/>
  <c r="E39" i="11"/>
  <c r="G39" i="11"/>
  <c r="H39" i="11"/>
  <c r="I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B40" i="11"/>
  <c r="C40" i="11"/>
  <c r="E40" i="11"/>
  <c r="G40" i="11"/>
  <c r="H40" i="11"/>
  <c r="I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B41" i="11"/>
  <c r="C41" i="11"/>
  <c r="E41" i="11"/>
  <c r="G41" i="11"/>
  <c r="H41" i="11"/>
  <c r="I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B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B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B47" i="11"/>
  <c r="G47" i="11"/>
  <c r="H47" i="11"/>
  <c r="I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B48" i="11"/>
  <c r="C48" i="11"/>
  <c r="G48" i="11"/>
  <c r="H48" i="11"/>
  <c r="I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B49" i="11"/>
  <c r="C49" i="11"/>
  <c r="G49" i="11"/>
  <c r="H49" i="11"/>
  <c r="I49" i="11"/>
  <c r="B50" i="11"/>
  <c r="C50" i="11"/>
  <c r="B51" i="11"/>
  <c r="G52" i="11"/>
  <c r="H52" i="11"/>
  <c r="I52" i="11"/>
  <c r="B53" i="11"/>
  <c r="C53" i="11"/>
  <c r="G53" i="11"/>
  <c r="H53" i="11"/>
  <c r="I53" i="11"/>
  <c r="J53" i="11" a="1"/>
  <c r="J53" i="11"/>
  <c r="B54" i="11"/>
  <c r="C54" i="11"/>
  <c r="G54" i="11"/>
  <c r="H54" i="11"/>
  <c r="I54" i="11"/>
  <c r="J54" i="11"/>
  <c r="B55" i="11"/>
  <c r="C55" i="11"/>
  <c r="G55" i="11"/>
  <c r="H55" i="11"/>
  <c r="I55" i="11"/>
  <c r="J55" i="11"/>
  <c r="B56" i="11"/>
  <c r="C56" i="11"/>
  <c r="B57" i="11"/>
  <c r="C57" i="11"/>
  <c r="G57" i="11" a="1"/>
  <c r="G57" i="11"/>
  <c r="H57" i="11"/>
  <c r="I57" i="11"/>
  <c r="B58" i="11"/>
  <c r="C58" i="11"/>
  <c r="G58" i="11"/>
  <c r="H58" i="11"/>
  <c r="I58" i="11"/>
  <c r="G59" i="11"/>
  <c r="H59" i="11"/>
  <c r="I59" i="11"/>
  <c r="B60" i="11"/>
  <c r="B61" i="11"/>
  <c r="B62" i="11"/>
  <c r="C4" i="9"/>
  <c r="F4" i="9"/>
  <c r="C5" i="9"/>
  <c r="F5" i="9"/>
  <c r="C6" i="9"/>
  <c r="F6" i="9"/>
  <c r="C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F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C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C12" i="9"/>
  <c r="C13" i="9"/>
  <c r="C14" i="9"/>
  <c r="C15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B27" i="9"/>
  <c r="C27" i="9"/>
  <c r="E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B28" i="9"/>
  <c r="C28" i="9"/>
  <c r="E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B29" i="9"/>
  <c r="C29" i="9"/>
  <c r="E29" i="9"/>
  <c r="C30" i="9"/>
  <c r="B31" i="9"/>
  <c r="G31" i="9"/>
  <c r="H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G32" i="9"/>
  <c r="H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B33" i="9"/>
  <c r="G33" i="9"/>
  <c r="H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B35" i="9"/>
  <c r="G35" i="9"/>
  <c r="H35" i="9"/>
  <c r="I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B36" i="9"/>
  <c r="C36" i="9"/>
  <c r="E36" i="9"/>
  <c r="G36" i="9"/>
  <c r="H36" i="9"/>
  <c r="I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B37" i="9"/>
  <c r="C37" i="9"/>
  <c r="E37" i="9"/>
  <c r="G37" i="9"/>
  <c r="H37" i="9"/>
  <c r="I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B38" i="9"/>
  <c r="C38" i="9"/>
  <c r="E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B39" i="9"/>
  <c r="C39" i="9"/>
  <c r="E39" i="9"/>
  <c r="G39" i="9"/>
  <c r="H39" i="9"/>
  <c r="I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B40" i="9"/>
  <c r="C40" i="9"/>
  <c r="E40" i="9"/>
  <c r="G40" i="9"/>
  <c r="H40" i="9"/>
  <c r="I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B41" i="9"/>
  <c r="C41" i="9"/>
  <c r="E41" i="9"/>
  <c r="G41" i="9"/>
  <c r="H41" i="9"/>
  <c r="I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B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B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B47" i="9"/>
  <c r="G47" i="9"/>
  <c r="H47" i="9"/>
  <c r="I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B48" i="9"/>
  <c r="C48" i="9"/>
  <c r="G48" i="9"/>
  <c r="H48" i="9"/>
  <c r="I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B49" i="9"/>
  <c r="C49" i="9"/>
  <c r="G49" i="9"/>
  <c r="H49" i="9"/>
  <c r="I49" i="9"/>
  <c r="B50" i="9"/>
  <c r="C50" i="9"/>
  <c r="B51" i="9"/>
  <c r="G52" i="9"/>
  <c r="H52" i="9"/>
  <c r="I52" i="9"/>
  <c r="B53" i="9"/>
  <c r="C53" i="9"/>
  <c r="G53" i="9"/>
  <c r="H53" i="9"/>
  <c r="I53" i="9"/>
  <c r="J53" i="9" a="1"/>
  <c r="J53" i="9"/>
  <c r="B54" i="9"/>
  <c r="C54" i="9"/>
  <c r="G54" i="9"/>
  <c r="H54" i="9"/>
  <c r="I54" i="9"/>
  <c r="J54" i="9"/>
  <c r="B55" i="9"/>
  <c r="C55" i="9"/>
  <c r="G55" i="9"/>
  <c r="H55" i="9"/>
  <c r="I55" i="9"/>
  <c r="J55" i="9"/>
  <c r="B56" i="9"/>
  <c r="C56" i="9"/>
  <c r="B57" i="9"/>
  <c r="C57" i="9"/>
  <c r="G57" i="9" a="1"/>
  <c r="G57" i="9"/>
  <c r="H57" i="9"/>
  <c r="I57" i="9"/>
  <c r="B58" i="9"/>
  <c r="C58" i="9"/>
  <c r="G58" i="9"/>
  <c r="H58" i="9"/>
  <c r="I58" i="9"/>
  <c r="G59" i="9"/>
  <c r="H59" i="9"/>
  <c r="I59" i="9"/>
  <c r="B60" i="9"/>
  <c r="B61" i="9"/>
  <c r="B62" i="9"/>
  <c r="C4" i="12"/>
  <c r="F4" i="12"/>
  <c r="C5" i="12"/>
  <c r="F5" i="12"/>
  <c r="C6" i="12"/>
  <c r="F6" i="12"/>
  <c r="C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F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C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C12" i="12"/>
  <c r="C13" i="12"/>
  <c r="C14" i="12"/>
  <c r="C15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B27" i="12"/>
  <c r="C27" i="12"/>
  <c r="E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B28" i="12"/>
  <c r="C28" i="12"/>
  <c r="E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B29" i="12"/>
  <c r="C29" i="12"/>
  <c r="E29" i="12"/>
  <c r="C30" i="12"/>
  <c r="B31" i="12"/>
  <c r="G31" i="12"/>
  <c r="H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G32" i="12"/>
  <c r="H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B33" i="12"/>
  <c r="G33" i="12"/>
  <c r="H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B35" i="12"/>
  <c r="G35" i="12"/>
  <c r="H35" i="12"/>
  <c r="I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B36" i="12"/>
  <c r="C36" i="12"/>
  <c r="E36" i="12"/>
  <c r="G36" i="12"/>
  <c r="H36" i="12"/>
  <c r="I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B37" i="12"/>
  <c r="C37" i="12"/>
  <c r="E37" i="12"/>
  <c r="G37" i="12"/>
  <c r="H37" i="12"/>
  <c r="I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B38" i="12"/>
  <c r="C38" i="12"/>
  <c r="E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B39" i="12"/>
  <c r="C39" i="12"/>
  <c r="E39" i="12"/>
  <c r="G39" i="12"/>
  <c r="H39" i="12"/>
  <c r="I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B40" i="12"/>
  <c r="C40" i="12"/>
  <c r="E40" i="12"/>
  <c r="G40" i="12"/>
  <c r="H40" i="12"/>
  <c r="I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B41" i="12"/>
  <c r="C41" i="12"/>
  <c r="E41" i="12"/>
  <c r="G41" i="12"/>
  <c r="H41" i="12"/>
  <c r="I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B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B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B47" i="12"/>
  <c r="G47" i="12"/>
  <c r="H47" i="12"/>
  <c r="I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B48" i="12"/>
  <c r="C48" i="12"/>
  <c r="G48" i="12"/>
  <c r="H48" i="12"/>
  <c r="I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B49" i="12"/>
  <c r="C49" i="12"/>
  <c r="G49" i="12"/>
  <c r="H49" i="12"/>
  <c r="I49" i="12"/>
  <c r="B50" i="12"/>
  <c r="C50" i="12"/>
  <c r="B51" i="12"/>
  <c r="G52" i="12"/>
  <c r="H52" i="12"/>
  <c r="I52" i="12"/>
  <c r="B53" i="12"/>
  <c r="C53" i="12"/>
  <c r="G53" i="12"/>
  <c r="H53" i="12"/>
  <c r="I53" i="12"/>
  <c r="J53" i="12" a="1"/>
  <c r="J53" i="12"/>
  <c r="B54" i="12"/>
  <c r="C54" i="12"/>
  <c r="G54" i="12"/>
  <c r="H54" i="12"/>
  <c r="I54" i="12"/>
  <c r="J54" i="12"/>
  <c r="B55" i="12"/>
  <c r="C55" i="12"/>
  <c r="G55" i="12"/>
  <c r="H55" i="12"/>
  <c r="I55" i="12"/>
  <c r="J55" i="12"/>
  <c r="B56" i="12"/>
  <c r="C56" i="12"/>
  <c r="B57" i="12"/>
  <c r="C57" i="12"/>
  <c r="G57" i="12" a="1"/>
  <c r="G57" i="12"/>
  <c r="H57" i="12"/>
  <c r="I57" i="12"/>
  <c r="B58" i="12"/>
  <c r="C58" i="12"/>
  <c r="G58" i="12"/>
  <c r="H58" i="12"/>
  <c r="I58" i="12"/>
  <c r="G59" i="12"/>
  <c r="H59" i="12"/>
  <c r="I59" i="12"/>
  <c r="B60" i="12"/>
  <c r="B61" i="12"/>
  <c r="B62" i="12"/>
  <c r="C4" i="3"/>
  <c r="F4" i="3"/>
  <c r="C5" i="3"/>
  <c r="F5" i="3"/>
  <c r="C6" i="3"/>
  <c r="F6" i="3"/>
  <c r="C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F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C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C12" i="3"/>
  <c r="C13" i="3"/>
  <c r="C14" i="3"/>
  <c r="C15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B27" i="3"/>
  <c r="C27" i="3"/>
  <c r="E27" i="3"/>
  <c r="F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B28" i="3"/>
  <c r="C28" i="3"/>
  <c r="E28" i="3"/>
  <c r="F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B29" i="3"/>
  <c r="C29" i="3"/>
  <c r="E29" i="3"/>
  <c r="F29" i="3"/>
  <c r="C30" i="3"/>
  <c r="B31" i="3"/>
  <c r="G31" i="3"/>
  <c r="H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G32" i="3"/>
  <c r="H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B33" i="3"/>
  <c r="G33" i="3"/>
  <c r="H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B35" i="3"/>
  <c r="G35" i="3"/>
  <c r="H35" i="3"/>
  <c r="I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B36" i="3"/>
  <c r="C36" i="3"/>
  <c r="E36" i="3"/>
  <c r="G36" i="3"/>
  <c r="H36" i="3"/>
  <c r="I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B37" i="3"/>
  <c r="C37" i="3"/>
  <c r="E37" i="3"/>
  <c r="G37" i="3"/>
  <c r="H37" i="3"/>
  <c r="I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B38" i="3"/>
  <c r="C38" i="3"/>
  <c r="E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B39" i="3"/>
  <c r="C39" i="3"/>
  <c r="E39" i="3"/>
  <c r="G39" i="3"/>
  <c r="H39" i="3"/>
  <c r="I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B40" i="3"/>
  <c r="C40" i="3"/>
  <c r="E40" i="3"/>
  <c r="G40" i="3"/>
  <c r="H40" i="3"/>
  <c r="I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B41" i="3"/>
  <c r="C41" i="3"/>
  <c r="E41" i="3"/>
  <c r="G41" i="3"/>
  <c r="H41" i="3"/>
  <c r="I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B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B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B47" i="3"/>
  <c r="G47" i="3"/>
  <c r="H47" i="3"/>
  <c r="I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B48" i="3"/>
  <c r="C48" i="3"/>
  <c r="G48" i="3"/>
  <c r="H48" i="3"/>
  <c r="I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B49" i="3"/>
  <c r="C49" i="3"/>
  <c r="G49" i="3"/>
  <c r="H49" i="3"/>
  <c r="I49" i="3"/>
  <c r="B50" i="3"/>
  <c r="C50" i="3"/>
  <c r="B51" i="3"/>
  <c r="G52" i="3"/>
  <c r="H52" i="3"/>
  <c r="I52" i="3"/>
  <c r="B53" i="3"/>
  <c r="C53" i="3"/>
  <c r="G53" i="3"/>
  <c r="H53" i="3"/>
  <c r="I53" i="3"/>
  <c r="J53" i="3" a="1"/>
  <c r="J53" i="3"/>
  <c r="B54" i="3"/>
  <c r="C54" i="3"/>
  <c r="G54" i="3"/>
  <c r="H54" i="3"/>
  <c r="I54" i="3"/>
  <c r="J54" i="3"/>
  <c r="B55" i="3"/>
  <c r="C55" i="3"/>
  <c r="G55" i="3"/>
  <c r="H55" i="3"/>
  <c r="I55" i="3"/>
  <c r="J55" i="3"/>
  <c r="B56" i="3"/>
  <c r="C56" i="3"/>
  <c r="B57" i="3"/>
  <c r="C57" i="3"/>
  <c r="B58" i="3"/>
  <c r="C58" i="3"/>
  <c r="B60" i="3"/>
  <c r="B61" i="3"/>
  <c r="B62" i="3"/>
  <c r="C5" i="6"/>
  <c r="D5" i="6"/>
  <c r="E5" i="6"/>
  <c r="F5" i="6"/>
  <c r="I5" i="6"/>
  <c r="J5" i="6"/>
  <c r="K5" i="6"/>
  <c r="C6" i="6"/>
  <c r="D6" i="6"/>
  <c r="E6" i="6"/>
  <c r="F6" i="6"/>
  <c r="I6" i="6"/>
  <c r="J6" i="6"/>
  <c r="K6" i="6"/>
  <c r="C7" i="6"/>
  <c r="D7" i="6"/>
  <c r="E7" i="6"/>
  <c r="F7" i="6"/>
  <c r="I7" i="6"/>
  <c r="J7" i="6"/>
  <c r="K7" i="6"/>
  <c r="C8" i="6"/>
  <c r="D8" i="6"/>
  <c r="E8" i="6"/>
  <c r="F8" i="6"/>
  <c r="I8" i="6"/>
  <c r="J8" i="6"/>
  <c r="K8" i="6"/>
  <c r="C11" i="6"/>
  <c r="D11" i="6"/>
  <c r="E11" i="6"/>
  <c r="F11" i="6"/>
  <c r="I11" i="6"/>
  <c r="J11" i="6"/>
  <c r="K11" i="6"/>
  <c r="C12" i="6"/>
  <c r="D12" i="6"/>
  <c r="E12" i="6"/>
  <c r="F12" i="6"/>
  <c r="I12" i="6"/>
  <c r="J12" i="6"/>
  <c r="K12" i="6"/>
  <c r="C13" i="6"/>
  <c r="D13" i="6"/>
  <c r="E13" i="6"/>
  <c r="F13" i="6"/>
  <c r="I13" i="6"/>
  <c r="J13" i="6"/>
  <c r="K13" i="6"/>
  <c r="C14" i="6"/>
  <c r="D14" i="6"/>
  <c r="E14" i="6"/>
  <c r="F14" i="6"/>
  <c r="I14" i="6"/>
  <c r="J14" i="6"/>
  <c r="K14" i="6"/>
  <c r="C17" i="6"/>
  <c r="D17" i="6"/>
  <c r="E17" i="6"/>
  <c r="F17" i="6"/>
  <c r="I17" i="6"/>
  <c r="J17" i="6"/>
  <c r="K17" i="6"/>
  <c r="C18" i="6"/>
  <c r="D18" i="6"/>
  <c r="E18" i="6"/>
  <c r="F18" i="6"/>
  <c r="I18" i="6"/>
  <c r="J18" i="6"/>
  <c r="K18" i="6"/>
  <c r="C19" i="6"/>
  <c r="D19" i="6"/>
  <c r="E19" i="6"/>
  <c r="F19" i="6"/>
  <c r="I19" i="6"/>
  <c r="J19" i="6"/>
  <c r="K19" i="6"/>
  <c r="C20" i="6"/>
  <c r="D20" i="6"/>
  <c r="E20" i="6"/>
  <c r="F20" i="6"/>
  <c r="I20" i="6"/>
  <c r="J20" i="6"/>
  <c r="K20" i="6"/>
  <c r="C23" i="6"/>
  <c r="D23" i="6"/>
  <c r="E23" i="6"/>
  <c r="F23" i="6"/>
  <c r="I23" i="6"/>
  <c r="J23" i="6"/>
  <c r="K23" i="6"/>
  <c r="C24" i="6"/>
  <c r="D24" i="6"/>
  <c r="E24" i="6"/>
  <c r="F24" i="6"/>
  <c r="I24" i="6"/>
  <c r="J24" i="6"/>
  <c r="K24" i="6"/>
  <c r="C25" i="6"/>
  <c r="D25" i="6"/>
  <c r="E25" i="6"/>
  <c r="F25" i="6"/>
  <c r="I25" i="6"/>
  <c r="J25" i="6"/>
  <c r="K25" i="6"/>
  <c r="C26" i="6"/>
  <c r="D26" i="6"/>
  <c r="E26" i="6"/>
  <c r="F26" i="6"/>
  <c r="I26" i="6"/>
  <c r="J26" i="6"/>
  <c r="K26" i="6"/>
  <c r="C29" i="6"/>
  <c r="D29" i="6"/>
  <c r="E29" i="6"/>
  <c r="F29" i="6"/>
  <c r="I29" i="6"/>
  <c r="J29" i="6"/>
  <c r="K29" i="6"/>
  <c r="C30" i="6"/>
  <c r="D30" i="6"/>
  <c r="E30" i="6"/>
  <c r="F30" i="6"/>
  <c r="I30" i="6"/>
  <c r="J30" i="6"/>
  <c r="K30" i="6"/>
  <c r="C31" i="6"/>
  <c r="D31" i="6"/>
  <c r="E31" i="6"/>
  <c r="F31" i="6"/>
  <c r="I31" i="6"/>
  <c r="J31" i="6"/>
  <c r="K31" i="6"/>
  <c r="C32" i="6"/>
  <c r="D32" i="6"/>
  <c r="E32" i="6"/>
  <c r="F32" i="6"/>
  <c r="I32" i="6"/>
  <c r="J32" i="6"/>
  <c r="K32" i="6"/>
  <c r="C35" i="6"/>
  <c r="D35" i="6"/>
  <c r="E35" i="6"/>
  <c r="F35" i="6"/>
  <c r="I35" i="6"/>
  <c r="J35" i="6"/>
  <c r="K35" i="6"/>
  <c r="C36" i="6"/>
  <c r="D36" i="6"/>
  <c r="E36" i="6"/>
  <c r="F36" i="6"/>
  <c r="I36" i="6"/>
  <c r="J36" i="6"/>
  <c r="K36" i="6"/>
  <c r="C37" i="6"/>
  <c r="D37" i="6"/>
  <c r="E37" i="6"/>
  <c r="F37" i="6"/>
  <c r="I37" i="6"/>
  <c r="J37" i="6"/>
  <c r="K37" i="6"/>
  <c r="C38" i="6"/>
  <c r="D38" i="6"/>
  <c r="E38" i="6"/>
  <c r="F38" i="6"/>
  <c r="I38" i="6"/>
  <c r="J38" i="6"/>
  <c r="K38" i="6"/>
  <c r="D48" i="6"/>
  <c r="E48" i="6"/>
  <c r="F48" i="6"/>
  <c r="D49" i="6"/>
  <c r="E49" i="6"/>
  <c r="F49" i="6"/>
  <c r="D50" i="6"/>
  <c r="E50" i="6"/>
  <c r="F50" i="6"/>
</calcChain>
</file>

<file path=xl/comments1.xml><?xml version="1.0" encoding="utf-8"?>
<comments xmlns="http://schemas.openxmlformats.org/spreadsheetml/2006/main">
  <authors>
    <author>Steve Martell</author>
  </authors>
  <commentList>
    <comment ref="E26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Derived from F = qE. Or E = F/q.
</t>
        </r>
      </text>
    </comment>
  </commentList>
</comments>
</file>

<file path=xl/comments2.xml><?xml version="1.0" encoding="utf-8"?>
<comments xmlns="http://schemas.openxmlformats.org/spreadsheetml/2006/main">
  <authors>
    <author>Steve Martell</author>
  </authors>
  <commentList>
    <comment ref="G48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</t>
        </r>
        <r>
          <rPr>
            <b/>
            <sz val="9"/>
            <color indexed="81"/>
            <rFont val="Palatino Linotype"/>
            <family val="2"/>
          </rPr>
          <t>What do I mean by mitigation?</t>
        </r>
        <r>
          <rPr>
            <sz val="9"/>
            <color indexed="81"/>
            <rFont val="Palatino Linotype"/>
            <family val="2"/>
          </rPr>
          <t xml:space="preserve">
Eg. For each pound of catch in fishery k, there is a corresponding loss of xx pounds in fishery k'.  If fishery k wants to increase its catch by 1 pound, then fishery k' must reduce its bycatch by 1/xx pounds. (row=k,col=k')</t>
        </r>
      </text>
    </comment>
  </commentList>
</comments>
</file>

<file path=xl/sharedStrings.xml><?xml version="1.0" encoding="utf-8"?>
<sst xmlns="http://schemas.openxmlformats.org/spreadsheetml/2006/main" count="1034" uniqueCount="167">
  <si>
    <t>SPR Based PSC Caps</t>
  </si>
  <si>
    <t>Age Schedules</t>
  </si>
  <si>
    <t>age</t>
  </si>
  <si>
    <t>wa</t>
  </si>
  <si>
    <t>Population parameters</t>
  </si>
  <si>
    <t>M</t>
  </si>
  <si>
    <t>lx</t>
  </si>
  <si>
    <t>lz</t>
  </si>
  <si>
    <t>Selectivities</t>
  </si>
  <si>
    <t>ah</t>
  </si>
  <si>
    <t>gh</t>
  </si>
  <si>
    <t>za</t>
  </si>
  <si>
    <t>g</t>
  </si>
  <si>
    <t>Fishing Mortality</t>
  </si>
  <si>
    <t>f1_</t>
  </si>
  <si>
    <t>f2_</t>
  </si>
  <si>
    <t>flt1_</t>
  </si>
  <si>
    <t>flt2_</t>
  </si>
  <si>
    <t>flt3_</t>
  </si>
  <si>
    <t>f3_</t>
  </si>
  <si>
    <t>Bo</t>
  </si>
  <si>
    <t>reck</t>
  </si>
  <si>
    <t>Incidence functions</t>
  </si>
  <si>
    <t>qa1</t>
  </si>
  <si>
    <t>qa2</t>
  </si>
  <si>
    <t>qa3</t>
  </si>
  <si>
    <t>ma</t>
  </si>
  <si>
    <t>phif</t>
  </si>
  <si>
    <t>phie</t>
  </si>
  <si>
    <t>Mortality at age</t>
  </si>
  <si>
    <t>ta1</t>
  </si>
  <si>
    <t>ta2</t>
  </si>
  <si>
    <t>ta3</t>
  </si>
  <si>
    <t>phi_t1</t>
  </si>
  <si>
    <t>phi_t2</t>
  </si>
  <si>
    <t>phi_t3</t>
  </si>
  <si>
    <t>phi_q1</t>
  </si>
  <si>
    <t>phi_q2</t>
  </si>
  <si>
    <t>phi_q3</t>
  </si>
  <si>
    <t>Steady state conditions</t>
  </si>
  <si>
    <t>spr</t>
  </si>
  <si>
    <t>re</t>
  </si>
  <si>
    <t>Ro</t>
  </si>
  <si>
    <t>ye_1</t>
  </si>
  <si>
    <t>ye_2</t>
  </si>
  <si>
    <t>ye_3</t>
  </si>
  <si>
    <t>Fleet</t>
  </si>
  <si>
    <t>Allocation</t>
  </si>
  <si>
    <t>Actual</t>
  </si>
  <si>
    <t>SPR</t>
  </si>
  <si>
    <t>OBJFUN</t>
  </si>
  <si>
    <t>Partial derivatives</t>
  </si>
  <si>
    <t>dlz1</t>
  </si>
  <si>
    <t>dlz2</t>
  </si>
  <si>
    <t>dlz3</t>
  </si>
  <si>
    <t>sa</t>
  </si>
  <si>
    <t>oa</t>
  </si>
  <si>
    <t>dphiq</t>
  </si>
  <si>
    <t>dphif</t>
  </si>
  <si>
    <t>dre</t>
  </si>
  <si>
    <t>dqa21</t>
  </si>
  <si>
    <t>dqa23</t>
  </si>
  <si>
    <t>dqa11</t>
  </si>
  <si>
    <t>dqa22</t>
  </si>
  <si>
    <t>dqa33</t>
  </si>
  <si>
    <t>dqa12</t>
  </si>
  <si>
    <t>dqa31</t>
  </si>
  <si>
    <t>dqa32</t>
  </si>
  <si>
    <t>dqa13</t>
  </si>
  <si>
    <t>dye</t>
  </si>
  <si>
    <t>Outer product of dye</t>
  </si>
  <si>
    <t>Vulnerable weight at age</t>
  </si>
  <si>
    <t>Total</t>
  </si>
  <si>
    <t>Total Mortality Rate Allocation</t>
  </si>
  <si>
    <t>Catch Allocation</t>
  </si>
  <si>
    <t>ypr_1</t>
  </si>
  <si>
    <t>ypr_2</t>
  </si>
  <si>
    <t>ypr_3</t>
  </si>
  <si>
    <t>len</t>
  </si>
  <si>
    <t>linf</t>
  </si>
  <si>
    <t>vonbk</t>
  </si>
  <si>
    <t>slim</t>
  </si>
  <si>
    <t>dmr</t>
  </si>
  <si>
    <t>sr</t>
  </si>
  <si>
    <t>F1</t>
  </si>
  <si>
    <t>F2</t>
  </si>
  <si>
    <t>F3</t>
  </si>
  <si>
    <t>Available yield at age</t>
  </si>
  <si>
    <t>ypr1</t>
  </si>
  <si>
    <t>ypr2</t>
  </si>
  <si>
    <t>ypr3</t>
  </si>
  <si>
    <t>mpr1</t>
  </si>
  <si>
    <t>mpr2</t>
  </si>
  <si>
    <t>mpr3</t>
  </si>
  <si>
    <t>Yield Mitigation</t>
  </si>
  <si>
    <t>fbar</t>
  </si>
  <si>
    <t>phi_saa</t>
  </si>
  <si>
    <t>Option</t>
  </si>
  <si>
    <t>Option 2: allocate YPR</t>
  </si>
  <si>
    <t>Option 1: allocate MPR</t>
  </si>
  <si>
    <t>sr_1</t>
  </si>
  <si>
    <t>sr_2</t>
  </si>
  <si>
    <t>sr_3</t>
  </si>
  <si>
    <t>commercial</t>
  </si>
  <si>
    <t>bycatch</t>
  </si>
  <si>
    <t>sport</t>
  </si>
  <si>
    <t>Commercial</t>
  </si>
  <si>
    <t>Bycatch</t>
  </si>
  <si>
    <t>Sport</t>
  </si>
  <si>
    <t>2014 Mlbs</t>
  </si>
  <si>
    <t>Ye</t>
  </si>
  <si>
    <t>SS</t>
  </si>
  <si>
    <t>ftotal</t>
  </si>
  <si>
    <t>Fishing</t>
  </si>
  <si>
    <t>Days/Year</t>
  </si>
  <si>
    <t>Status Quo</t>
  </si>
  <si>
    <t>Age</t>
  </si>
  <si>
    <t>Flt1_</t>
  </si>
  <si>
    <t>Flt2_</t>
  </si>
  <si>
    <t>Flt3_</t>
  </si>
  <si>
    <t>avg_wt1</t>
  </si>
  <si>
    <t>avg_wt2</t>
  </si>
  <si>
    <t>avg_wt3</t>
  </si>
  <si>
    <t>winf</t>
  </si>
  <si>
    <t>k</t>
  </si>
  <si>
    <t>to</t>
  </si>
  <si>
    <t>FISHING DAYS PER YEAR</t>
  </si>
  <si>
    <t>MITIGATION Status Quo</t>
  </si>
  <si>
    <t>phib</t>
  </si>
  <si>
    <t>Average</t>
  </si>
  <si>
    <t>PERCENT OF TOTAL YPR</t>
  </si>
  <si>
    <t>PERCENT OF TOTAL MPR</t>
  </si>
  <si>
    <t>YIELD (Mlb)</t>
  </si>
  <si>
    <t>AVERAGE WEIGHT (lb)</t>
  </si>
  <si>
    <t>Reduce DMR</t>
  </si>
  <si>
    <t>Excluders</t>
  </si>
  <si>
    <t>ALLOCATION BASED ON YPR</t>
  </si>
  <si>
    <t>ALLOCATION BASED ON MPR</t>
  </si>
  <si>
    <t>Full Retention</t>
  </si>
  <si>
    <t xml:space="preserve"> </t>
  </si>
  <si>
    <t>q</t>
  </si>
  <si>
    <t>CPUE</t>
  </si>
  <si>
    <t>CPUE || ENCOUNTER RATE</t>
  </si>
  <si>
    <t>Yield Equivalents</t>
  </si>
  <si>
    <t>Campana,</t>
  </si>
  <si>
    <t>Steven</t>
  </si>
  <si>
    <t>Len</t>
  </si>
  <si>
    <t>Male</t>
  </si>
  <si>
    <t>Female Wa</t>
  </si>
  <si>
    <t>Male Wa</t>
  </si>
  <si>
    <t>Female</t>
  </si>
  <si>
    <t>b</t>
  </si>
  <si>
    <t>a</t>
  </si>
  <si>
    <t>Mat</t>
  </si>
  <si>
    <t>pMat</t>
  </si>
  <si>
    <t>ahat</t>
  </si>
  <si>
    <t>ghat</t>
  </si>
  <si>
    <t>Maturity</t>
  </si>
  <si>
    <t>Selectivity</t>
  </si>
  <si>
    <t>s_1</t>
  </si>
  <si>
    <t>s_2</t>
  </si>
  <si>
    <t>s_3</t>
  </si>
  <si>
    <t>Lenth</t>
  </si>
  <si>
    <t>SLX</t>
  </si>
  <si>
    <t>WST</t>
  </si>
  <si>
    <t>SC</t>
  </si>
  <si>
    <t>SS_F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</si>
</sst>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0.000"/>
    <numFmt numFmtId="165" formatCode="0.0000"/>
    <numFmt numFmtId="166" formatCode="_-* #,##0_-;\-* #,##0_-;_-* &quot;-&quot;??_-;_-@_-"/>
    <numFmt numFmtId="167" formatCode="0.000000000000"/>
    <numFmt numFmtId="172" formatCode="0.0000E+00"/>
  </numFmts>
  <fonts count="24" x14ac:knownFonts="1"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0"/>
      <name val="Palatino Linotype"/>
      <family val="2"/>
      <scheme val="minor"/>
    </font>
    <font>
      <sz val="12"/>
      <color theme="3"/>
      <name val="Palatino Linotype"/>
      <scheme val="minor"/>
    </font>
    <font>
      <sz val="12"/>
      <color theme="6"/>
      <name val="Palatino Linotype"/>
      <scheme val="minor"/>
    </font>
    <font>
      <sz val="8"/>
      <name val="Palatino Linotype"/>
      <family val="2"/>
      <scheme val="minor"/>
    </font>
    <font>
      <u/>
      <sz val="12"/>
      <color theme="10"/>
      <name val="Palatino Linotype"/>
      <family val="2"/>
      <scheme val="minor"/>
    </font>
    <font>
      <u/>
      <sz val="12"/>
      <color theme="11"/>
      <name val="Palatino Linotype"/>
      <family val="2"/>
      <scheme val="minor"/>
    </font>
    <font>
      <sz val="12"/>
      <name val="Palatino Linotype"/>
      <scheme val="minor"/>
    </font>
    <font>
      <sz val="12"/>
      <color theme="5"/>
      <name val="Palatino Linotype"/>
      <scheme val="minor"/>
    </font>
    <font>
      <sz val="12"/>
      <color theme="7"/>
      <name val="Palatino Linotype"/>
      <scheme val="minor"/>
    </font>
    <font>
      <sz val="9"/>
      <color indexed="81"/>
      <name val="Palatino Linotype"/>
      <family val="2"/>
    </font>
    <font>
      <b/>
      <sz val="9"/>
      <color indexed="81"/>
      <name val="Palatino Linotype"/>
      <family val="2"/>
    </font>
    <font>
      <b/>
      <sz val="12"/>
      <color theme="1"/>
      <name val="Palatino Linotype"/>
      <family val="2"/>
      <scheme val="minor"/>
    </font>
    <font>
      <sz val="12"/>
      <color rgb="FF846648"/>
      <name val="Palatino Linotype"/>
      <scheme val="minor"/>
    </font>
    <font>
      <sz val="12"/>
      <color rgb="FFE68422"/>
      <name val="Palatino Linotype"/>
      <scheme val="minor"/>
    </font>
    <font>
      <sz val="12"/>
      <color rgb="FF000000"/>
      <name val="Palatino Linotype"/>
      <family val="2"/>
      <scheme val="minor"/>
    </font>
    <font>
      <b/>
      <sz val="12"/>
      <color theme="5"/>
      <name val="Palatino Linotype"/>
      <scheme val="minor"/>
    </font>
    <font>
      <sz val="12"/>
      <color theme="5" tint="0.79998168889431442"/>
      <name val="Palatino Linotype"/>
      <scheme val="minor"/>
    </font>
    <font>
      <sz val="12"/>
      <color theme="6" tint="0.79998168889431442"/>
      <name val="Palatino Linotype"/>
      <scheme val="minor"/>
    </font>
    <font>
      <b/>
      <sz val="12"/>
      <color theme="6"/>
      <name val="Palatino Linotype"/>
      <scheme val="minor"/>
    </font>
    <font>
      <b/>
      <sz val="12"/>
      <color rgb="FFFA7D00"/>
      <name val="Palatino Linotype"/>
      <family val="2"/>
      <scheme val="minor"/>
    </font>
    <font>
      <i/>
      <sz val="12"/>
      <color theme="1"/>
      <name val="Palatino Linotype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4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7" borderId="2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2" fillId="10" borderId="7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7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2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1" applyNumberFormat="1" applyFont="1"/>
    <xf numFmtId="10" fontId="5" fillId="0" borderId="0" xfId="0" applyNumberFormat="1" applyFont="1"/>
    <xf numFmtId="2" fontId="0" fillId="0" borderId="0" xfId="0" applyNumberFormat="1" applyFont="1"/>
    <xf numFmtId="0" fontId="3" fillId="4" borderId="0" xfId="5"/>
    <xf numFmtId="0" fontId="3" fillId="6" borderId="0" xfId="7"/>
    <xf numFmtId="0" fontId="3" fillId="2" borderId="0" xfId="3"/>
    <xf numFmtId="2" fontId="3" fillId="5" borderId="0" xfId="6" applyNumberFormat="1"/>
    <xf numFmtId="0" fontId="3" fillId="5" borderId="0" xfId="6"/>
    <xf numFmtId="0" fontId="5" fillId="0" borderId="0" xfId="0" applyFont="1"/>
    <xf numFmtId="9" fontId="5" fillId="0" borderId="0" xfId="2" applyFont="1"/>
    <xf numFmtId="0" fontId="9" fillId="0" borderId="0" xfId="0" applyFont="1" applyAlignment="1">
      <alignment horizontal="right"/>
    </xf>
    <xf numFmtId="10" fontId="10" fillId="0" borderId="0" xfId="2" applyNumberFormat="1" applyFont="1"/>
    <xf numFmtId="0" fontId="11" fillId="0" borderId="0" xfId="0" applyFont="1"/>
    <xf numFmtId="9" fontId="11" fillId="0" borderId="0" xfId="2" applyFont="1"/>
    <xf numFmtId="2" fontId="11" fillId="0" borderId="0" xfId="0" applyNumberFormat="1" applyFont="1"/>
    <xf numFmtId="0" fontId="3" fillId="5" borderId="0" xfId="6" applyAlignment="1">
      <alignment horizontal="left"/>
    </xf>
    <xf numFmtId="9" fontId="9" fillId="0" borderId="0" xfId="2" applyFont="1"/>
    <xf numFmtId="0" fontId="4" fillId="0" borderId="0" xfId="0" applyFont="1"/>
    <xf numFmtId="0" fontId="0" fillId="0" borderId="0" xfId="0" applyFont="1" applyAlignment="1">
      <alignment horizontal="right"/>
    </xf>
    <xf numFmtId="165" fontId="3" fillId="3" borderId="0" xfId="4" applyNumberFormat="1" applyAlignment="1">
      <alignment horizontal="center"/>
    </xf>
    <xf numFmtId="2" fontId="5" fillId="0" borderId="0" xfId="0" applyNumberFormat="1" applyFont="1"/>
    <xf numFmtId="2" fontId="9" fillId="0" borderId="0" xfId="0" applyNumberFormat="1" applyFont="1"/>
    <xf numFmtId="164" fontId="0" fillId="0" borderId="0" xfId="0" applyNumberFormat="1"/>
    <xf numFmtId="0" fontId="3" fillId="6" borderId="1" xfId="7" applyBorder="1"/>
    <xf numFmtId="0" fontId="14" fillId="0" borderId="0" xfId="0" applyFont="1"/>
    <xf numFmtId="164" fontId="5" fillId="0" borderId="0" xfId="0" applyNumberFormat="1" applyFont="1"/>
    <xf numFmtId="164" fontId="11" fillId="0" borderId="0" xfId="0" applyNumberFormat="1" applyFont="1"/>
    <xf numFmtId="165" fontId="0" fillId="0" borderId="0" xfId="2" applyNumberFormat="1" applyFont="1"/>
    <xf numFmtId="165" fontId="0" fillId="0" borderId="0" xfId="0" applyNumberFormat="1"/>
    <xf numFmtId="165" fontId="5" fillId="0" borderId="0" xfId="0" applyNumberFormat="1" applyFont="1"/>
    <xf numFmtId="165" fontId="11" fillId="0" borderId="0" xfId="0" applyNumberFormat="1" applyFont="1"/>
    <xf numFmtId="0" fontId="0" fillId="7" borderId="2" xfId="70" applyFont="1"/>
    <xf numFmtId="11" fontId="0" fillId="0" borderId="0" xfId="0" applyNumberFormat="1"/>
    <xf numFmtId="1" fontId="0" fillId="0" borderId="0" xfId="0" applyNumberFormat="1" applyAlignment="1">
      <alignment horizontal="center"/>
    </xf>
    <xf numFmtId="164" fontId="15" fillId="0" borderId="0" xfId="0" applyNumberFormat="1" applyFont="1"/>
    <xf numFmtId="164" fontId="16" fillId="0" borderId="0" xfId="0" applyNumberFormat="1" applyFont="1"/>
    <xf numFmtId="9" fontId="0" fillId="0" borderId="0" xfId="2" applyFont="1"/>
    <xf numFmtId="10" fontId="0" fillId="0" borderId="0" xfId="2" applyNumberFormat="1" applyFont="1"/>
    <xf numFmtId="166" fontId="0" fillId="0" borderId="0" xfId="1" applyNumberFormat="1" applyFont="1"/>
    <xf numFmtId="0" fontId="14" fillId="0" borderId="0" xfId="0" applyFont="1" applyAlignment="1">
      <alignment horizontal="right"/>
    </xf>
    <xf numFmtId="0" fontId="0" fillId="0" borderId="3" xfId="0" applyBorder="1" applyAlignment="1">
      <alignment horizontal="right"/>
    </xf>
    <xf numFmtId="2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2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67" fontId="0" fillId="0" borderId="0" xfId="0" applyNumberFormat="1"/>
    <xf numFmtId="0" fontId="3" fillId="0" borderId="0" xfId="5" applyFill="1"/>
    <xf numFmtId="0" fontId="9" fillId="0" borderId="0" xfId="5" applyFont="1" applyFill="1"/>
    <xf numFmtId="2" fontId="9" fillId="0" borderId="0" xfId="5" applyNumberFormat="1" applyFont="1" applyFill="1"/>
    <xf numFmtId="0" fontId="9" fillId="0" borderId="0" xfId="0" applyFont="1" applyFill="1"/>
    <xf numFmtId="0" fontId="0" fillId="0" borderId="3" xfId="0" applyFont="1" applyBorder="1" applyAlignment="1">
      <alignment horizontal="left"/>
    </xf>
    <xf numFmtId="166" fontId="14" fillId="0" borderId="0" xfId="0" applyNumberFormat="1" applyFont="1" applyAlignment="1">
      <alignment horizontal="center"/>
    </xf>
    <xf numFmtId="9" fontId="0" fillId="0" borderId="0" xfId="2" applyFont="1" applyAlignment="1">
      <alignment horizontal="center"/>
    </xf>
    <xf numFmtId="9" fontId="14" fillId="0" borderId="0" xfId="2" applyFont="1" applyAlignment="1">
      <alignment horizontal="center"/>
    </xf>
    <xf numFmtId="166" fontId="0" fillId="0" borderId="0" xfId="1" applyNumberFormat="1" applyFont="1" applyAlignment="1"/>
    <xf numFmtId="166" fontId="0" fillId="0" borderId="3" xfId="1" applyNumberFormat="1" applyFont="1" applyBorder="1" applyAlignment="1"/>
    <xf numFmtId="9" fontId="0" fillId="0" borderId="3" xfId="2" applyFont="1" applyBorder="1" applyAlignment="1">
      <alignment horizontal="center"/>
    </xf>
    <xf numFmtId="0" fontId="0" fillId="0" borderId="3" xfId="0" applyFill="1" applyBorder="1" applyAlignment="1">
      <alignment horizontal="left"/>
    </xf>
    <xf numFmtId="166" fontId="14" fillId="0" borderId="0" xfId="1" applyNumberFormat="1" applyFont="1" applyAlignment="1"/>
    <xf numFmtId="43" fontId="0" fillId="0" borderId="0" xfId="1" applyNumberFormat="1" applyFont="1" applyAlignment="1"/>
    <xf numFmtId="43" fontId="0" fillId="0" borderId="3" xfId="1" applyNumberFormat="1" applyFont="1" applyBorder="1" applyAlignment="1"/>
    <xf numFmtId="43" fontId="14" fillId="0" borderId="0" xfId="1" applyNumberFormat="1" applyFont="1" applyAlignment="1"/>
    <xf numFmtId="0" fontId="10" fillId="0" borderId="0" xfId="0" applyFont="1" applyAlignment="1">
      <alignment horizontal="center"/>
    </xf>
    <xf numFmtId="166" fontId="18" fillId="0" borderId="0" xfId="0" applyNumberFormat="1" applyFont="1" applyAlignment="1">
      <alignment horizontal="center"/>
    </xf>
    <xf numFmtId="166" fontId="10" fillId="0" borderId="0" xfId="1" applyNumberFormat="1" applyFont="1" applyAlignment="1"/>
    <xf numFmtId="166" fontId="10" fillId="0" borderId="3" xfId="1" applyNumberFormat="1" applyFont="1" applyBorder="1" applyAlignment="1"/>
    <xf numFmtId="166" fontId="18" fillId="0" borderId="0" xfId="1" applyNumberFormat="1" applyFont="1" applyAlignment="1"/>
    <xf numFmtId="9" fontId="10" fillId="0" borderId="0" xfId="2" applyFont="1" applyAlignment="1">
      <alignment horizontal="center"/>
    </xf>
    <xf numFmtId="9" fontId="10" fillId="0" borderId="3" xfId="2" applyFont="1" applyBorder="1" applyAlignment="1">
      <alignment horizontal="center"/>
    </xf>
    <xf numFmtId="9" fontId="18" fillId="0" borderId="0" xfId="2" applyFont="1" applyAlignment="1">
      <alignment horizontal="center"/>
    </xf>
    <xf numFmtId="0" fontId="10" fillId="0" borderId="3" xfId="0" applyFont="1" applyBorder="1" applyAlignment="1">
      <alignment horizontal="center"/>
    </xf>
    <xf numFmtId="43" fontId="10" fillId="0" borderId="0" xfId="1" applyNumberFormat="1" applyFont="1" applyAlignment="1"/>
    <xf numFmtId="43" fontId="10" fillId="0" borderId="3" xfId="1" applyNumberFormat="1" applyFont="1" applyBorder="1" applyAlignment="1"/>
    <xf numFmtId="43" fontId="18" fillId="0" borderId="0" xfId="1" applyNumberFormat="1" applyFont="1" applyAlignment="1"/>
    <xf numFmtId="0" fontId="10" fillId="0" borderId="0" xfId="0" applyFont="1"/>
    <xf numFmtId="0" fontId="10" fillId="0" borderId="3" xfId="0" applyFont="1" applyBorder="1"/>
    <xf numFmtId="0" fontId="17" fillId="0" borderId="3" xfId="0" applyFont="1" applyBorder="1" applyAlignment="1">
      <alignment horizontal="center"/>
    </xf>
    <xf numFmtId="9" fontId="18" fillId="0" borderId="6" xfId="2" applyFont="1" applyBorder="1" applyAlignment="1">
      <alignment horizontal="center"/>
    </xf>
    <xf numFmtId="43" fontId="18" fillId="0" borderId="6" xfId="1" applyNumberFormat="1" applyFont="1" applyBorder="1" applyAlignment="1"/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166" fontId="2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1" applyNumberFormat="1" applyFont="1" applyAlignment="1"/>
    <xf numFmtId="166" fontId="5" fillId="0" borderId="3" xfId="1" applyNumberFormat="1" applyFont="1" applyBorder="1" applyAlignment="1"/>
    <xf numFmtId="166" fontId="21" fillId="0" borderId="0" xfId="1" applyNumberFormat="1" applyFont="1" applyAlignment="1"/>
    <xf numFmtId="9" fontId="5" fillId="0" borderId="0" xfId="2" applyFont="1" applyAlignment="1">
      <alignment horizontal="center"/>
    </xf>
    <xf numFmtId="9" fontId="5" fillId="0" borderId="3" xfId="2" applyFont="1" applyBorder="1" applyAlignment="1">
      <alignment horizontal="center"/>
    </xf>
    <xf numFmtId="9" fontId="21" fillId="0" borderId="0" xfId="2" applyFont="1" applyAlignment="1">
      <alignment horizontal="center"/>
    </xf>
    <xf numFmtId="43" fontId="5" fillId="0" borderId="0" xfId="1" applyNumberFormat="1" applyFont="1" applyAlignment="1"/>
    <xf numFmtId="43" fontId="5" fillId="0" borderId="3" xfId="1" applyNumberFormat="1" applyFont="1" applyBorder="1" applyAlignment="1"/>
    <xf numFmtId="166" fontId="21" fillId="0" borderId="6" xfId="1" applyNumberFormat="1" applyFont="1" applyBorder="1" applyAlignment="1"/>
    <xf numFmtId="9" fontId="21" fillId="0" borderId="6" xfId="2" applyFont="1" applyBorder="1" applyAlignment="1">
      <alignment horizontal="center"/>
    </xf>
    <xf numFmtId="43" fontId="21" fillId="0" borderId="6" xfId="1" applyNumberFormat="1" applyFont="1" applyBorder="1" applyAlignment="1"/>
    <xf numFmtId="166" fontId="18" fillId="0" borderId="6" xfId="1" applyNumberFormat="1" applyFont="1" applyBorder="1" applyAlignment="1"/>
    <xf numFmtId="43" fontId="0" fillId="0" borderId="0" xfId="0" applyNumberFormat="1"/>
    <xf numFmtId="1" fontId="0" fillId="0" borderId="0" xfId="0" applyNumberFormat="1"/>
    <xf numFmtId="1" fontId="0" fillId="0" borderId="0" xfId="0" applyNumberFormat="1" applyFont="1"/>
    <xf numFmtId="166" fontId="18" fillId="0" borderId="0" xfId="1" applyNumberFormat="1" applyFont="1" applyBorder="1" applyAlignment="1"/>
    <xf numFmtId="166" fontId="21" fillId="0" borderId="0" xfId="1" applyNumberFormat="1" applyFont="1" applyBorder="1" applyAlignment="1"/>
    <xf numFmtId="166" fontId="14" fillId="0" borderId="6" xfId="1" applyNumberFormat="1" applyFont="1" applyBorder="1" applyAlignment="1"/>
    <xf numFmtId="164" fontId="0" fillId="0" borderId="0" xfId="2" applyNumberFormat="1" applyFont="1"/>
    <xf numFmtId="43" fontId="0" fillId="0" borderId="0" xfId="1" applyNumberFormat="1" applyFont="1" applyAlignment="1">
      <alignment horizontal="center"/>
    </xf>
    <xf numFmtId="43" fontId="0" fillId="0" borderId="3" xfId="1" applyNumberFormat="1" applyFont="1" applyBorder="1" applyAlignment="1">
      <alignment horizontal="center"/>
    </xf>
    <xf numFmtId="43" fontId="10" fillId="0" borderId="0" xfId="1" applyNumberFormat="1" applyFont="1" applyAlignment="1">
      <alignment horizontal="center"/>
    </xf>
    <xf numFmtId="43" fontId="10" fillId="0" borderId="3" xfId="1" applyNumberFormat="1" applyFont="1" applyBorder="1" applyAlignment="1">
      <alignment horizontal="center"/>
    </xf>
    <xf numFmtId="43" fontId="5" fillId="0" borderId="0" xfId="1" applyNumberFormat="1" applyFont="1" applyAlignment="1">
      <alignment horizontal="center"/>
    </xf>
    <xf numFmtId="43" fontId="5" fillId="0" borderId="3" xfId="1" applyNumberFormat="1" applyFont="1" applyBorder="1" applyAlignment="1">
      <alignment horizontal="center"/>
    </xf>
    <xf numFmtId="0" fontId="19" fillId="8" borderId="0" xfId="0" applyFont="1" applyFill="1" applyAlignment="1">
      <alignment horizontal="center"/>
    </xf>
    <xf numFmtId="0" fontId="20" fillId="9" borderId="0" xfId="0" applyFont="1" applyFill="1" applyAlignment="1">
      <alignment horizontal="center"/>
    </xf>
    <xf numFmtId="0" fontId="23" fillId="0" borderId="0" xfId="0" applyFont="1"/>
    <xf numFmtId="165" fontId="23" fillId="0" borderId="0" xfId="0" applyNumberFormat="1" applyFont="1"/>
    <xf numFmtId="172" fontId="0" fillId="0" borderId="0" xfId="0" applyNumberFormat="1"/>
    <xf numFmtId="0" fontId="0" fillId="0" borderId="0" xfId="0" applyAlignment="1">
      <alignment horizontal="center"/>
    </xf>
    <xf numFmtId="0" fontId="22" fillId="10" borderId="7" xfId="475" applyAlignment="1">
      <alignment horizontal="center"/>
    </xf>
  </cellXfs>
  <cellStyles count="546">
    <cellStyle name="60% - Accent2" xfId="4" builtinId="36"/>
    <cellStyle name="Accent2" xfId="3" builtinId="33"/>
    <cellStyle name="Accent3" xfId="5" builtinId="37"/>
    <cellStyle name="Accent4" xfId="6" builtinId="41"/>
    <cellStyle name="Accent5" xfId="7" builtinId="45"/>
    <cellStyle name="Calculation" xfId="475" builtinId="22"/>
    <cellStyle name="Comma" xfId="1" builtin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Normal" xfId="0" builtinId="0"/>
    <cellStyle name="Note" xfId="70" builtinId="1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SUMMARY!$C$5:$F$5</c:f>
              <c:numCache>
                <c:formatCode>_-* #,##0.00_-;\-* #,##0.00_-;_-* "-"??_-;_-@_-</c:formatCode>
                <c:ptCount val="4"/>
                <c:pt idx="0">
                  <c:v>25.84381907074651</c:v>
                </c:pt>
                <c:pt idx="1">
                  <c:v>22.18513399199464</c:v>
                </c:pt>
                <c:pt idx="2">
                  <c:v>24.48765400456645</c:v>
                </c:pt>
                <c:pt idx="3">
                  <c:v>25.15918775557973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SUMMARY!$C$6:$F$6</c:f>
              <c:numCache>
                <c:formatCode>_-* #,##0.00_-;\-* #,##0.00_-;_-* "-"??_-;_-@_-</c:formatCode>
                <c:ptCount val="4"/>
                <c:pt idx="0">
                  <c:v>9.638274198022325</c:v>
                </c:pt>
                <c:pt idx="1">
                  <c:v>8.273792814806826</c:v>
                </c:pt>
                <c:pt idx="2">
                  <c:v>9.132501783742509</c:v>
                </c:pt>
                <c:pt idx="3">
                  <c:v>9.38294566774333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SUMMARY!$C$7:$F$7</c:f>
              <c:numCache>
                <c:formatCode>_-* #,##0.00_-;\-* #,##0.00_-;_-* "-"??_-;_-@_-</c:formatCode>
                <c:ptCount val="4"/>
                <c:pt idx="0">
                  <c:v>9.638274198022325</c:v>
                </c:pt>
                <c:pt idx="1">
                  <c:v>6.291280140341038</c:v>
                </c:pt>
                <c:pt idx="2">
                  <c:v>6.944230824932708</c:v>
                </c:pt>
                <c:pt idx="3">
                  <c:v>7.134664966680196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31864"/>
        <c:axId val="-2079234856"/>
      </c:barChart>
      <c:catAx>
        <c:axId val="-207923186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79234856"/>
        <c:crosses val="autoZero"/>
        <c:auto val="1"/>
        <c:lblAlgn val="ctr"/>
        <c:lblOffset val="100"/>
        <c:noMultiLvlLbl val="0"/>
      </c:catAx>
      <c:valAx>
        <c:axId val="-2079234856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_-* #,##0.00_-;\-* #,##0.00_-;_-* &quot;-&quot;??_-;_-@_-" sourceLinked="1"/>
        <c:majorTickMark val="none"/>
        <c:minorTickMark val="none"/>
        <c:tickLblPos val="nextTo"/>
        <c:crossAx val="-207923186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SUMMARY!$C$5:$F$5</c:f>
              <c:numCache>
                <c:formatCode>_-* #,##0.00_-;\-* #,##0.00_-;_-* "-"??_-;_-@_-</c:formatCode>
                <c:ptCount val="4"/>
                <c:pt idx="0">
                  <c:v>25.84381907074651</c:v>
                </c:pt>
                <c:pt idx="1">
                  <c:v>22.18513399199464</c:v>
                </c:pt>
                <c:pt idx="2">
                  <c:v>24.48765400456645</c:v>
                </c:pt>
                <c:pt idx="3">
                  <c:v>25.15918775557973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SUMMARY!$C$6:$F$6</c:f>
              <c:numCache>
                <c:formatCode>_-* #,##0.00_-;\-* #,##0.00_-;_-* "-"??_-;_-@_-</c:formatCode>
                <c:ptCount val="4"/>
                <c:pt idx="0">
                  <c:v>9.638274198022325</c:v>
                </c:pt>
                <c:pt idx="1">
                  <c:v>8.273792814806826</c:v>
                </c:pt>
                <c:pt idx="2">
                  <c:v>9.132501783742509</c:v>
                </c:pt>
                <c:pt idx="3">
                  <c:v>9.38294566774333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SUMMARY!$C$7:$F$7</c:f>
              <c:numCache>
                <c:formatCode>_-* #,##0.00_-;\-* #,##0.00_-;_-* "-"??_-;_-@_-</c:formatCode>
                <c:ptCount val="4"/>
                <c:pt idx="0">
                  <c:v>9.638274198022325</c:v>
                </c:pt>
                <c:pt idx="1">
                  <c:v>6.291280140341038</c:v>
                </c:pt>
                <c:pt idx="2">
                  <c:v>6.944230824932708</c:v>
                </c:pt>
                <c:pt idx="3">
                  <c:v>7.134664966680196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74168"/>
        <c:axId val="-2079277160"/>
      </c:barChart>
      <c:catAx>
        <c:axId val="-2079274168"/>
        <c:scaling>
          <c:orientation val="minMax"/>
        </c:scaling>
        <c:delete val="0"/>
        <c:axPos val="l"/>
        <c:majorTickMark val="out"/>
        <c:minorTickMark val="none"/>
        <c:tickLblPos val="nextTo"/>
        <c:crossAx val="-2079277160"/>
        <c:crosses val="autoZero"/>
        <c:auto val="1"/>
        <c:lblAlgn val="ctr"/>
        <c:lblOffset val="100"/>
        <c:noMultiLvlLbl val="0"/>
      </c:catAx>
      <c:valAx>
        <c:axId val="-2079277160"/>
        <c:scaling>
          <c:orientation val="minMax"/>
        </c:scaling>
        <c:delete val="0"/>
        <c:axPos val="b"/>
        <c:majorGridlines/>
        <c:numFmt formatCode="_-* #,##0.00_-;\-* #,##0.00_-;_-* &quot;-&quot;??_-;_-@_-" sourceLinked="1"/>
        <c:majorTickMark val="out"/>
        <c:minorTickMark val="none"/>
        <c:tickLblPos val="nextTo"/>
        <c:crossAx val="-2079274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SUMMARY!$C$5:$K$5</c:f>
              <c:numCache>
                <c:formatCode>_-* #,##0.00_-;\-* #,##0.00_-;_-* "-"??_-;_-@_-</c:formatCode>
                <c:ptCount val="9"/>
                <c:pt idx="0">
                  <c:v>25.84381907074651</c:v>
                </c:pt>
                <c:pt idx="1">
                  <c:v>22.18513399199464</c:v>
                </c:pt>
                <c:pt idx="2">
                  <c:v>24.48765400456645</c:v>
                </c:pt>
                <c:pt idx="3">
                  <c:v>25.15918775557973</c:v>
                </c:pt>
                <c:pt idx="6">
                  <c:v>28.99534454713571</c:v>
                </c:pt>
                <c:pt idx="7">
                  <c:v>27.50377554806569</c:v>
                </c:pt>
                <c:pt idx="8">
                  <c:v>27.32682296358211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SUMMARY!$C$6:$K$6</c:f>
              <c:numCache>
                <c:formatCode>_-* #,##0.00_-;\-* #,##0.00_-;_-* "-"??_-;_-@_-</c:formatCode>
                <c:ptCount val="9"/>
                <c:pt idx="0">
                  <c:v>9.638274198022325</c:v>
                </c:pt>
                <c:pt idx="1">
                  <c:v>8.273792814806826</c:v>
                </c:pt>
                <c:pt idx="2">
                  <c:v>9.132501783742509</c:v>
                </c:pt>
                <c:pt idx="3">
                  <c:v>9.38294566774333</c:v>
                </c:pt>
                <c:pt idx="6">
                  <c:v>5.596849014437346</c:v>
                </c:pt>
                <c:pt idx="7">
                  <c:v>8.56601865743045</c:v>
                </c:pt>
                <c:pt idx="8">
                  <c:v>9.256468532816542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SUMMARY!$C$7:$K$7</c:f>
              <c:numCache>
                <c:formatCode>_-* #,##0.00_-;\-* #,##0.00_-;_-* "-"??_-;_-@_-</c:formatCode>
                <c:ptCount val="9"/>
                <c:pt idx="0">
                  <c:v>9.638274198022325</c:v>
                </c:pt>
                <c:pt idx="1">
                  <c:v>6.291280140341038</c:v>
                </c:pt>
                <c:pt idx="2">
                  <c:v>6.944230824932708</c:v>
                </c:pt>
                <c:pt idx="3">
                  <c:v>7.134664966680196</c:v>
                </c:pt>
                <c:pt idx="6">
                  <c:v>61.73549565231923</c:v>
                </c:pt>
                <c:pt idx="7">
                  <c:v>5.589074093587236</c:v>
                </c:pt>
                <c:pt idx="8">
                  <c:v>5.772417825168794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-2079308904"/>
        <c:axId val="-2079311896"/>
      </c:barChart>
      <c:catAx>
        <c:axId val="-207930890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79311896"/>
        <c:crosses val="autoZero"/>
        <c:auto val="1"/>
        <c:lblAlgn val="ctr"/>
        <c:lblOffset val="100"/>
        <c:noMultiLvlLbl val="0"/>
      </c:catAx>
      <c:valAx>
        <c:axId val="-2079311896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_-* #,##0.00_-;\-* #,##0.00_-;_-* &quot;-&quot;??_-;_-@_-" sourceLinked="1"/>
        <c:majorTickMark val="none"/>
        <c:minorTickMark val="none"/>
        <c:tickLblPos val="nextTo"/>
        <c:crossAx val="-207930890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Selectivities!$D$6</c:f>
              <c:strCache>
                <c:ptCount val="1"/>
                <c:pt idx="0">
                  <c:v>Bycatch</c:v>
                </c:pt>
              </c:strCache>
            </c:strRef>
          </c:tx>
          <c:marker>
            <c:symbol val="none"/>
          </c:marker>
          <c:val>
            <c:numRef>
              <c:f>Selectivities!$E$6:$AH$6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0.0824406</c:v>
                </c:pt>
                <c:pt idx="2">
                  <c:v>0.624065</c:v>
                </c:pt>
                <c:pt idx="3">
                  <c:v>0.999045</c:v>
                </c:pt>
                <c:pt idx="4">
                  <c:v>0.999929</c:v>
                </c:pt>
                <c:pt idx="5">
                  <c:v>0.972297</c:v>
                </c:pt>
                <c:pt idx="6">
                  <c:v>0.870108</c:v>
                </c:pt>
                <c:pt idx="7">
                  <c:v>0.733381</c:v>
                </c:pt>
                <c:pt idx="8">
                  <c:v>0.607412</c:v>
                </c:pt>
                <c:pt idx="9">
                  <c:v>0.517695</c:v>
                </c:pt>
                <c:pt idx="10">
                  <c:v>0.466217</c:v>
                </c:pt>
                <c:pt idx="11">
                  <c:v>0.441951</c:v>
                </c:pt>
                <c:pt idx="12">
                  <c:v>0.432452</c:v>
                </c:pt>
                <c:pt idx="13">
                  <c:v>0.429343</c:v>
                </c:pt>
                <c:pt idx="14">
                  <c:v>0.428489</c:v>
                </c:pt>
                <c:pt idx="15">
                  <c:v>0.428291</c:v>
                </c:pt>
                <c:pt idx="16">
                  <c:v>0.428253</c:v>
                </c:pt>
                <c:pt idx="17">
                  <c:v>0.428246</c:v>
                </c:pt>
                <c:pt idx="18">
                  <c:v>0.428245</c:v>
                </c:pt>
                <c:pt idx="19">
                  <c:v>0.428245</c:v>
                </c:pt>
                <c:pt idx="20">
                  <c:v>0.428245</c:v>
                </c:pt>
                <c:pt idx="21">
                  <c:v>0.428245</c:v>
                </c:pt>
                <c:pt idx="22">
                  <c:v>0.428245</c:v>
                </c:pt>
                <c:pt idx="23">
                  <c:v>0.428245</c:v>
                </c:pt>
                <c:pt idx="24">
                  <c:v>0.428245</c:v>
                </c:pt>
                <c:pt idx="25">
                  <c:v>0.428245</c:v>
                </c:pt>
                <c:pt idx="26">
                  <c:v>0.428245</c:v>
                </c:pt>
                <c:pt idx="27">
                  <c:v>0.428245</c:v>
                </c:pt>
                <c:pt idx="28">
                  <c:v>0.428245</c:v>
                </c:pt>
                <c:pt idx="29">
                  <c:v>0.428245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Selectivities!$D$17</c:f>
              <c:strCache>
                <c:ptCount val="1"/>
                <c:pt idx="0">
                  <c:v>Bycatch</c:v>
                </c:pt>
              </c:strCache>
            </c:strRef>
          </c:tx>
          <c:marker>
            <c:symbol val="none"/>
          </c:marker>
          <c:val>
            <c:numRef>
              <c:f>Selectivities!$E$17:$AH$17</c:f>
              <c:numCache>
                <c:formatCode>0.00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Selectivities!$D$5</c:f>
              <c:strCache>
                <c:ptCount val="1"/>
                <c:pt idx="0">
                  <c:v>Commercial</c:v>
                </c:pt>
              </c:strCache>
            </c:strRef>
          </c:tx>
          <c:marker>
            <c:symbol val="none"/>
          </c:marker>
          <c:val>
            <c:numRef>
              <c:f>Selectivities!$E$5:$AH$5</c:f>
              <c:numCache>
                <c:formatCode>0.00E+00</c:formatCode>
                <c:ptCount val="30"/>
                <c:pt idx="0">
                  <c:v>4.10285E-7</c:v>
                </c:pt>
                <c:pt idx="1">
                  <c:v>2.70476E-6</c:v>
                </c:pt>
                <c:pt idx="2">
                  <c:v>1.5833E-5</c:v>
                </c:pt>
                <c:pt idx="3">
                  <c:v>8.14345E-5</c:v>
                </c:pt>
                <c:pt idx="4" formatCode="General">
                  <c:v>0.000367432</c:v>
                </c:pt>
                <c:pt idx="5" formatCode="General">
                  <c:v>0.00145395</c:v>
                </c:pt>
                <c:pt idx="6" formatCode="General">
                  <c:v>0.00504549</c:v>
                </c:pt>
                <c:pt idx="7" formatCode="General">
                  <c:v>0.0153544</c:v>
                </c:pt>
                <c:pt idx="8" formatCode="General">
                  <c:v>0.040977</c:v>
                </c:pt>
                <c:pt idx="9" formatCode="General">
                  <c:v>0.0959005</c:v>
                </c:pt>
                <c:pt idx="10" formatCode="General">
                  <c:v>0.196824</c:v>
                </c:pt>
                <c:pt idx="11" formatCode="General">
                  <c:v>0.354249</c:v>
                </c:pt>
                <c:pt idx="12" formatCode="General">
                  <c:v>0.559132</c:v>
                </c:pt>
                <c:pt idx="13" formatCode="General">
                  <c:v>0.77392</c:v>
                </c:pt>
                <c:pt idx="14" formatCode="General">
                  <c:v>0.939406</c:v>
                </c:pt>
                <c:pt idx="15" formatCode="General">
                  <c:v>0.999985</c:v>
                </c:pt>
                <c:pt idx="16" formatCode="General">
                  <c:v>0.999997</c:v>
                </c:pt>
                <c:pt idx="17" formatCode="General">
                  <c:v>1.0</c:v>
                </c:pt>
                <c:pt idx="18" formatCode="General">
                  <c:v>1.0</c:v>
                </c:pt>
                <c:pt idx="19" formatCode="General">
                  <c:v>1.0</c:v>
                </c:pt>
                <c:pt idx="20" formatCode="General">
                  <c:v>1.0</c:v>
                </c:pt>
                <c:pt idx="21" formatCode="General">
                  <c:v>1.0</c:v>
                </c:pt>
                <c:pt idx="22" formatCode="General">
                  <c:v>1.0</c:v>
                </c:pt>
                <c:pt idx="23" formatCode="General">
                  <c:v>1.0</c:v>
                </c:pt>
                <c:pt idx="24" formatCode="General">
                  <c:v>1.0</c:v>
                </c:pt>
                <c:pt idx="25" formatCode="General">
                  <c:v>1.0</c:v>
                </c:pt>
                <c:pt idx="26" formatCode="General">
                  <c:v>1.0</c:v>
                </c:pt>
                <c:pt idx="27" formatCode="General">
                  <c:v>1.0</c:v>
                </c:pt>
                <c:pt idx="28" formatCode="General">
                  <c:v>1.0</c:v>
                </c:pt>
                <c:pt idx="29" formatCode="General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Selectivities!$D$16</c:f>
              <c:strCache>
                <c:ptCount val="1"/>
                <c:pt idx="0">
                  <c:v>Commercial</c:v>
                </c:pt>
              </c:strCache>
            </c:strRef>
          </c:tx>
          <c:marker>
            <c:symbol val="none"/>
          </c:marker>
          <c:val>
            <c:numRef>
              <c:f>Selectivities!$E$16:$AH$16</c:f>
              <c:numCache>
                <c:formatCode>0.00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7929320"/>
        <c:axId val="-2077926200"/>
      </c:lineChart>
      <c:catAx>
        <c:axId val="-20779293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926200"/>
        <c:crosses val="autoZero"/>
        <c:auto val="1"/>
        <c:lblAlgn val="ctr"/>
        <c:lblOffset val="100"/>
        <c:noMultiLvlLbl val="0"/>
      </c:catAx>
      <c:valAx>
        <c:axId val="-207792620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077929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SAA!$B$11</c:f>
              <c:strCache>
                <c:ptCount val="1"/>
                <c:pt idx="0">
                  <c:v>Female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SAA!$B$12:$B$41</c:f>
              <c:numCache>
                <c:formatCode>General</c:formatCode>
                <c:ptCount val="30"/>
                <c:pt idx="0">
                  <c:v>0.0805912502959535</c:v>
                </c:pt>
                <c:pt idx="1">
                  <c:v>0.343633705662661</c:v>
                </c:pt>
                <c:pt idx="2">
                  <c:v>0.872591532826178</c:v>
                </c:pt>
                <c:pt idx="3">
                  <c:v>1.710306217101389</c:v>
                </c:pt>
                <c:pt idx="4">
                  <c:v>2.869849656017406</c:v>
                </c:pt>
                <c:pt idx="5">
                  <c:v>4.342374768364428</c:v>
                </c:pt>
                <c:pt idx="6">
                  <c:v>6.104030738102996</c:v>
                </c:pt>
                <c:pt idx="7">
                  <c:v>8.12156089976884</c:v>
                </c:pt>
                <c:pt idx="8">
                  <c:v>10.35661529977803</c:v>
                </c:pt>
                <c:pt idx="9">
                  <c:v>12.768945602324</c:v>
                </c:pt>
                <c:pt idx="10">
                  <c:v>15.31868194978121</c:v>
                </c:pt>
                <c:pt idx="11">
                  <c:v>17.967882472883</c:v>
                </c:pt>
                <c:pt idx="12">
                  <c:v>20.68152218092943</c:v>
                </c:pt>
                <c:pt idx="13">
                  <c:v>23.42806019840499</c:v>
                </c:pt>
                <c:pt idx="14">
                  <c:v>26.17969765546478</c:v>
                </c:pt>
                <c:pt idx="15">
                  <c:v>28.91241495110766</c:v>
                </c:pt>
                <c:pt idx="16">
                  <c:v>31.60585716237929</c:v>
                </c:pt>
                <c:pt idx="17">
                  <c:v>34.24311999369819</c:v>
                </c:pt>
                <c:pt idx="18">
                  <c:v>36.81047548935561</c:v>
                </c:pt>
                <c:pt idx="19">
                  <c:v>39.2970663151597</c:v>
                </c:pt>
                <c:pt idx="20">
                  <c:v>41.69458929267172</c:v>
                </c:pt>
                <c:pt idx="21">
                  <c:v>43.9969826191238</c:v>
                </c:pt>
                <c:pt idx="22">
                  <c:v>46.20012645913896</c:v>
                </c:pt>
                <c:pt idx="23">
                  <c:v>48.30156303905395</c:v>
                </c:pt>
                <c:pt idx="24">
                  <c:v>50.30023975322631</c:v>
                </c:pt>
                <c:pt idx="25">
                  <c:v>52.19627689453262</c:v>
                </c:pt>
                <c:pt idx="26">
                  <c:v>53.9907602799829</c:v>
                </c:pt>
                <c:pt idx="27">
                  <c:v>55.68555812323528</c:v>
                </c:pt>
                <c:pt idx="28">
                  <c:v>57.28316090352758</c:v>
                </c:pt>
                <c:pt idx="29">
                  <c:v>58.78654261302023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SAA!$C$11</c:f>
              <c:strCache>
                <c:ptCount val="1"/>
                <c:pt idx="0">
                  <c:v>Male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SAA!$C$12:$C$41</c:f>
              <c:numCache>
                <c:formatCode>General</c:formatCode>
                <c:ptCount val="30"/>
                <c:pt idx="0">
                  <c:v>0.117805160038481</c:v>
                </c:pt>
                <c:pt idx="1">
                  <c:v>0.334516197997431</c:v>
                </c:pt>
                <c:pt idx="2">
                  <c:v>0.688951815850833</c:v>
                </c:pt>
                <c:pt idx="3">
                  <c:v>1.182089682222812</c:v>
                </c:pt>
                <c:pt idx="4">
                  <c:v>1.803304639362698</c:v>
                </c:pt>
                <c:pt idx="5">
                  <c:v>2.535171265421657</c:v>
                </c:pt>
                <c:pt idx="6">
                  <c:v>3.357000152853792</c:v>
                </c:pt>
                <c:pt idx="7">
                  <c:v>4.24728680915641</c:v>
                </c:pt>
                <c:pt idx="8">
                  <c:v>5.185308783124913</c:v>
                </c:pt>
                <c:pt idx="9">
                  <c:v>6.15208950601258</c:v>
                </c:pt>
                <c:pt idx="10">
                  <c:v>7.13090947273952</c:v>
                </c:pt>
                <c:pt idx="11">
                  <c:v>8.107505682516363</c:v>
                </c:pt>
                <c:pt idx="12">
                  <c:v>9.070065261895705</c:v>
                </c:pt>
                <c:pt idx="13">
                  <c:v>10.00909062210358</c:v>
                </c:pt>
                <c:pt idx="14">
                  <c:v>10.91719117406518</c:v>
                </c:pt>
                <c:pt idx="15">
                  <c:v>11.78883968341333</c:v>
                </c:pt>
                <c:pt idx="16">
                  <c:v>12.6201187866659</c:v>
                </c:pt>
                <c:pt idx="17">
                  <c:v>13.40847406308621</c:v>
                </c:pt>
                <c:pt idx="18">
                  <c:v>14.15248355621159</c:v>
                </c:pt>
                <c:pt idx="19">
                  <c:v>14.85164910784252</c:v>
                </c:pt>
                <c:pt idx="20">
                  <c:v>15.50621178844303</c:v>
                </c:pt>
                <c:pt idx="21">
                  <c:v>16.11699168349606</c:v>
                </c:pt>
                <c:pt idx="22">
                  <c:v>16.6852510243504</c:v>
                </c:pt>
                <c:pt idx="23">
                  <c:v>17.21257891001617</c:v>
                </c:pt>
                <c:pt idx="24">
                  <c:v>17.70079548800719</c:v>
                </c:pt>
                <c:pt idx="25">
                  <c:v>18.15187332763614</c:v>
                </c:pt>
                <c:pt idx="26">
                  <c:v>18.56787374205521</c:v>
                </c:pt>
                <c:pt idx="27">
                  <c:v>18.9508959349585</c:v>
                </c:pt>
                <c:pt idx="28">
                  <c:v>19.30303702196039</c:v>
                </c:pt>
                <c:pt idx="29">
                  <c:v>19.6263611764901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SAA!$F$11</c:f>
              <c:strCache>
                <c:ptCount val="1"/>
                <c:pt idx="0">
                  <c:v>Female Wa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SAA!$F$12:$F$41</c:f>
              <c:numCache>
                <c:formatCode>General</c:formatCode>
                <c:ptCount val="30"/>
                <c:pt idx="0">
                  <c:v>0.94</c:v>
                </c:pt>
                <c:pt idx="1">
                  <c:v>1.87</c:v>
                </c:pt>
                <c:pt idx="2">
                  <c:v>2.81</c:v>
                </c:pt>
                <c:pt idx="3">
                  <c:v>3.75</c:v>
                </c:pt>
                <c:pt idx="4">
                  <c:v>4.69</c:v>
                </c:pt>
                <c:pt idx="5">
                  <c:v>5.62</c:v>
                </c:pt>
                <c:pt idx="6">
                  <c:v>6.56</c:v>
                </c:pt>
                <c:pt idx="7">
                  <c:v>7.32</c:v>
                </c:pt>
                <c:pt idx="8">
                  <c:v>8.61</c:v>
                </c:pt>
                <c:pt idx="9">
                  <c:v>10.94</c:v>
                </c:pt>
                <c:pt idx="10">
                  <c:v>14.14</c:v>
                </c:pt>
                <c:pt idx="11">
                  <c:v>17.64</c:v>
                </c:pt>
                <c:pt idx="12">
                  <c:v>19.92</c:v>
                </c:pt>
                <c:pt idx="13">
                  <c:v>22.6</c:v>
                </c:pt>
                <c:pt idx="14">
                  <c:v>24.53</c:v>
                </c:pt>
                <c:pt idx="15">
                  <c:v>30.09</c:v>
                </c:pt>
                <c:pt idx="16">
                  <c:v>34.26</c:v>
                </c:pt>
                <c:pt idx="17">
                  <c:v>33.23</c:v>
                </c:pt>
                <c:pt idx="18">
                  <c:v>42.13</c:v>
                </c:pt>
                <c:pt idx="19">
                  <c:v>39.68</c:v>
                </c:pt>
                <c:pt idx="20">
                  <c:v>35.66</c:v>
                </c:pt>
                <c:pt idx="21">
                  <c:v>46.31</c:v>
                </c:pt>
                <c:pt idx="22">
                  <c:v>48.46</c:v>
                </c:pt>
                <c:pt idx="23">
                  <c:v>47.26</c:v>
                </c:pt>
                <c:pt idx="24">
                  <c:v>49.13</c:v>
                </c:pt>
                <c:pt idx="25">
                  <c:v>51.0</c:v>
                </c:pt>
                <c:pt idx="26">
                  <c:v>52.87</c:v>
                </c:pt>
                <c:pt idx="27">
                  <c:v>54.74</c:v>
                </c:pt>
                <c:pt idx="28">
                  <c:v>56.61</c:v>
                </c:pt>
                <c:pt idx="29">
                  <c:v>58.48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SAA!$G$11</c:f>
              <c:strCache>
                <c:ptCount val="1"/>
                <c:pt idx="0">
                  <c:v>Male Wa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SAA!$G$12:$G$41</c:f>
              <c:numCache>
                <c:formatCode>General</c:formatCode>
                <c:ptCount val="30"/>
                <c:pt idx="0">
                  <c:v>0.67</c:v>
                </c:pt>
                <c:pt idx="1">
                  <c:v>1.33</c:v>
                </c:pt>
                <c:pt idx="2">
                  <c:v>2.0</c:v>
                </c:pt>
                <c:pt idx="3">
                  <c:v>2.66</c:v>
                </c:pt>
                <c:pt idx="4">
                  <c:v>3.33</c:v>
                </c:pt>
                <c:pt idx="5">
                  <c:v>3.99</c:v>
                </c:pt>
                <c:pt idx="6">
                  <c:v>4.66</c:v>
                </c:pt>
                <c:pt idx="7">
                  <c:v>5.19</c:v>
                </c:pt>
                <c:pt idx="8">
                  <c:v>5.83</c:v>
                </c:pt>
                <c:pt idx="9">
                  <c:v>6.89</c:v>
                </c:pt>
                <c:pt idx="10">
                  <c:v>8.39</c:v>
                </c:pt>
                <c:pt idx="11">
                  <c:v>9.19</c:v>
                </c:pt>
                <c:pt idx="12">
                  <c:v>9.9</c:v>
                </c:pt>
                <c:pt idx="13">
                  <c:v>10.06</c:v>
                </c:pt>
                <c:pt idx="14">
                  <c:v>11.06</c:v>
                </c:pt>
                <c:pt idx="15">
                  <c:v>11.53</c:v>
                </c:pt>
                <c:pt idx="16">
                  <c:v>12.17</c:v>
                </c:pt>
                <c:pt idx="17">
                  <c:v>17.59</c:v>
                </c:pt>
                <c:pt idx="18">
                  <c:v>13.46</c:v>
                </c:pt>
                <c:pt idx="19">
                  <c:v>14.66</c:v>
                </c:pt>
                <c:pt idx="20">
                  <c:v>14.59</c:v>
                </c:pt>
                <c:pt idx="21">
                  <c:v>15.71</c:v>
                </c:pt>
                <c:pt idx="22">
                  <c:v>16.7</c:v>
                </c:pt>
                <c:pt idx="23">
                  <c:v>18.24</c:v>
                </c:pt>
                <c:pt idx="24">
                  <c:v>18.62</c:v>
                </c:pt>
                <c:pt idx="25">
                  <c:v>19.0</c:v>
                </c:pt>
                <c:pt idx="26">
                  <c:v>19.37</c:v>
                </c:pt>
                <c:pt idx="27">
                  <c:v>19.75</c:v>
                </c:pt>
                <c:pt idx="28">
                  <c:v>20.13</c:v>
                </c:pt>
                <c:pt idx="29">
                  <c:v>20.51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1414744"/>
        <c:axId val="-2057844824"/>
      </c:scatterChart>
      <c:valAx>
        <c:axId val="-2061414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57844824"/>
        <c:crosses val="autoZero"/>
        <c:crossBetween val="midCat"/>
      </c:valAx>
      <c:valAx>
        <c:axId val="-2057844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1414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SAA!$Q$11</c:f>
              <c:strCache>
                <c:ptCount val="1"/>
                <c:pt idx="0">
                  <c:v>SLX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SAA!$Q$12:$Q$41</c:f>
              <c:numCache>
                <c:formatCode>0.00E+00</c:formatCode>
                <c:ptCount val="30"/>
                <c:pt idx="0">
                  <c:v>4.10285E-7</c:v>
                </c:pt>
                <c:pt idx="1">
                  <c:v>2.70476E-6</c:v>
                </c:pt>
                <c:pt idx="2">
                  <c:v>1.5833E-5</c:v>
                </c:pt>
                <c:pt idx="3">
                  <c:v>8.14345E-5</c:v>
                </c:pt>
                <c:pt idx="4" formatCode="General">
                  <c:v>0.000367432</c:v>
                </c:pt>
                <c:pt idx="5" formatCode="General">
                  <c:v>0.00145395</c:v>
                </c:pt>
                <c:pt idx="6" formatCode="General">
                  <c:v>0.00504549</c:v>
                </c:pt>
                <c:pt idx="7" formatCode="General">
                  <c:v>0.0153544</c:v>
                </c:pt>
                <c:pt idx="8" formatCode="General">
                  <c:v>0.040977</c:v>
                </c:pt>
                <c:pt idx="9" formatCode="General">
                  <c:v>0.0959005</c:v>
                </c:pt>
                <c:pt idx="10" formatCode="General">
                  <c:v>0.196824</c:v>
                </c:pt>
                <c:pt idx="11" formatCode="General">
                  <c:v>0.354249</c:v>
                </c:pt>
                <c:pt idx="12" formatCode="General">
                  <c:v>0.559132</c:v>
                </c:pt>
                <c:pt idx="13" formatCode="General">
                  <c:v>0.77392</c:v>
                </c:pt>
                <c:pt idx="14" formatCode="General">
                  <c:v>0.939406</c:v>
                </c:pt>
                <c:pt idx="15" formatCode="General">
                  <c:v>0.999985</c:v>
                </c:pt>
                <c:pt idx="16" formatCode="General">
                  <c:v>0.999997</c:v>
                </c:pt>
                <c:pt idx="17" formatCode="General">
                  <c:v>1.0</c:v>
                </c:pt>
                <c:pt idx="18" formatCode="General">
                  <c:v>1.0</c:v>
                </c:pt>
                <c:pt idx="19" formatCode="General">
                  <c:v>1.0</c:v>
                </c:pt>
                <c:pt idx="20" formatCode="General">
                  <c:v>1.0</c:v>
                </c:pt>
                <c:pt idx="21" formatCode="General">
                  <c:v>1.0</c:v>
                </c:pt>
                <c:pt idx="22" formatCode="General">
                  <c:v>1.0</c:v>
                </c:pt>
                <c:pt idx="23" formatCode="General">
                  <c:v>1.0</c:v>
                </c:pt>
                <c:pt idx="24" formatCode="General">
                  <c:v>1.0</c:v>
                </c:pt>
                <c:pt idx="25" formatCode="General">
                  <c:v>1.0</c:v>
                </c:pt>
                <c:pt idx="26" formatCode="General">
                  <c:v>1.0</c:v>
                </c:pt>
                <c:pt idx="27" formatCode="General">
                  <c:v>1.0</c:v>
                </c:pt>
                <c:pt idx="28" formatCode="General">
                  <c:v>1.0</c:v>
                </c:pt>
                <c:pt idx="29" formatCode="General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SAA!$R$11</c:f>
              <c:strCache>
                <c:ptCount val="1"/>
                <c:pt idx="0">
                  <c:v>WST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SAA!$R$12:$R$41</c:f>
              <c:numCache>
                <c:formatCode>0.00E+00</c:formatCode>
                <c:ptCount val="30"/>
                <c:pt idx="0">
                  <c:v>1.0E-6</c:v>
                </c:pt>
                <c:pt idx="1">
                  <c:v>3.01682E-8</c:v>
                </c:pt>
                <c:pt idx="2">
                  <c:v>9.92308E-7</c:v>
                </c:pt>
                <c:pt idx="3" formatCode="General">
                  <c:v>0.000148636</c:v>
                </c:pt>
                <c:pt idx="4" formatCode="General">
                  <c:v>0.00720276</c:v>
                </c:pt>
                <c:pt idx="5" formatCode="General">
                  <c:v>0.10777</c:v>
                </c:pt>
                <c:pt idx="6" formatCode="General">
                  <c:v>0.497624</c:v>
                </c:pt>
                <c:pt idx="7" formatCode="General">
                  <c:v>0.725067</c:v>
                </c:pt>
                <c:pt idx="8" formatCode="General">
                  <c:v>0.725642</c:v>
                </c:pt>
                <c:pt idx="9" formatCode="General">
                  <c:v>0.725645</c:v>
                </c:pt>
                <c:pt idx="10" formatCode="General">
                  <c:v>0.725429</c:v>
                </c:pt>
                <c:pt idx="11" formatCode="General">
                  <c:v>0.614312</c:v>
                </c:pt>
                <c:pt idx="12" formatCode="General">
                  <c:v>0.298849</c:v>
                </c:pt>
                <c:pt idx="13" formatCode="General">
                  <c:v>0.13281</c:v>
                </c:pt>
                <c:pt idx="14" formatCode="General">
                  <c:v>0.0994762</c:v>
                </c:pt>
                <c:pt idx="15" formatCode="General">
                  <c:v>0.0965938</c:v>
                </c:pt>
                <c:pt idx="16" formatCode="General">
                  <c:v>0.0964822</c:v>
                </c:pt>
                <c:pt idx="17" formatCode="General">
                  <c:v>0.0964803</c:v>
                </c:pt>
                <c:pt idx="18" formatCode="General">
                  <c:v>0.0964803</c:v>
                </c:pt>
                <c:pt idx="19" formatCode="General">
                  <c:v>0.0964803</c:v>
                </c:pt>
                <c:pt idx="20" formatCode="General">
                  <c:v>0.0964803</c:v>
                </c:pt>
                <c:pt idx="21" formatCode="General">
                  <c:v>0.0964803</c:v>
                </c:pt>
                <c:pt idx="22" formatCode="General">
                  <c:v>0.0964803</c:v>
                </c:pt>
                <c:pt idx="23" formatCode="General">
                  <c:v>0.0964803</c:v>
                </c:pt>
                <c:pt idx="24" formatCode="General">
                  <c:v>0.0964803</c:v>
                </c:pt>
                <c:pt idx="25" formatCode="General">
                  <c:v>0.0964802</c:v>
                </c:pt>
                <c:pt idx="26" formatCode="General">
                  <c:v>0.0964802</c:v>
                </c:pt>
                <c:pt idx="27" formatCode="General">
                  <c:v>0.0964802</c:v>
                </c:pt>
                <c:pt idx="28" formatCode="General">
                  <c:v>0.0964802</c:v>
                </c:pt>
                <c:pt idx="29" formatCode="General">
                  <c:v>0.0964802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SAA!$S$11</c:f>
              <c:strCache>
                <c:ptCount val="1"/>
                <c:pt idx="0">
                  <c:v>SC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SAA!$S$12:$S$41</c:f>
              <c:numCache>
                <c:formatCode>0.00E+00</c:formatCode>
                <c:ptCount val="30"/>
                <c:pt idx="0">
                  <c:v>7.67330151470972E-6</c:v>
                </c:pt>
                <c:pt idx="1">
                  <c:v>5.46341598331323E-5</c:v>
                </c:pt>
                <c:pt idx="2">
                  <c:v>0.000388885252467284</c:v>
                </c:pt>
                <c:pt idx="3">
                  <c:v>0.00276243093922652</c:v>
                </c:pt>
                <c:pt idx="4">
                  <c:v>0.019342497699835</c:v>
                </c:pt>
                <c:pt idx="5">
                  <c:v>0.123147138029876</c:v>
                </c:pt>
                <c:pt idx="6">
                  <c:v>0.5</c:v>
                </c:pt>
                <c:pt idx="7">
                  <c:v>0.876852861970124</c:v>
                </c:pt>
                <c:pt idx="8">
                  <c:v>0.980657502300165</c:v>
                </c:pt>
                <c:pt idx="9">
                  <c:v>0.997237569060773</c:v>
                </c:pt>
                <c:pt idx="10">
                  <c:v>0.999611114747533</c:v>
                </c:pt>
                <c:pt idx="11">
                  <c:v>0.999945365840167</c:v>
                </c:pt>
                <c:pt idx="12">
                  <c:v>0.999992326698485</c:v>
                </c:pt>
                <c:pt idx="13">
                  <c:v>0.999998922337607</c:v>
                </c:pt>
                <c:pt idx="14">
                  <c:v>0.999999848650591</c:v>
                </c:pt>
                <c:pt idx="15">
                  <c:v>0.999999978744154</c:v>
                </c:pt>
                <c:pt idx="16">
                  <c:v>0.999999997014782</c:v>
                </c:pt>
                <c:pt idx="17">
                  <c:v>0.99999999958075</c:v>
                </c:pt>
                <c:pt idx="18">
                  <c:v>0.999999999941119</c:v>
                </c:pt>
                <c:pt idx="19">
                  <c:v>0.999999999991731</c:v>
                </c:pt>
                <c:pt idx="20">
                  <c:v>0.999999999998839</c:v>
                </c:pt>
                <c:pt idx="21">
                  <c:v>0.999999999999837</c:v>
                </c:pt>
                <c:pt idx="22">
                  <c:v>0.999999999999977</c:v>
                </c:pt>
                <c:pt idx="23">
                  <c:v>0.999999999999997</c:v>
                </c:pt>
                <c:pt idx="24">
                  <c:v>1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7817944"/>
        <c:axId val="-2117576344"/>
      </c:scatterChart>
      <c:valAx>
        <c:axId val="-2117817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7576344"/>
        <c:crosses val="autoZero"/>
        <c:crossBetween val="midCat"/>
      </c:valAx>
      <c:valAx>
        <c:axId val="-211757634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117817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SAA!$J$11</c:f>
              <c:strCache>
                <c:ptCount val="1"/>
                <c:pt idx="0">
                  <c:v>Commercial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SAA!$J$12:$J$41</c:f>
              <c:numCache>
                <c:formatCode>0.00E+00</c:formatCode>
                <c:ptCount val="30"/>
                <c:pt idx="0">
                  <c:v>7.67330151470972E-6</c:v>
                </c:pt>
                <c:pt idx="1">
                  <c:v>5.46341598331323E-5</c:v>
                </c:pt>
                <c:pt idx="2">
                  <c:v>0.000388885252467284</c:v>
                </c:pt>
                <c:pt idx="3">
                  <c:v>0.00276243093922652</c:v>
                </c:pt>
                <c:pt idx="4">
                  <c:v>0.019342497699835</c:v>
                </c:pt>
                <c:pt idx="5">
                  <c:v>0.123147138029876</c:v>
                </c:pt>
                <c:pt idx="6">
                  <c:v>0.5</c:v>
                </c:pt>
                <c:pt idx="7">
                  <c:v>0.876852861970124</c:v>
                </c:pt>
                <c:pt idx="8">
                  <c:v>0.980657502300165</c:v>
                </c:pt>
                <c:pt idx="9">
                  <c:v>0.997237569060773</c:v>
                </c:pt>
                <c:pt idx="10">
                  <c:v>0.999611114747533</c:v>
                </c:pt>
                <c:pt idx="11">
                  <c:v>0.999945365840167</c:v>
                </c:pt>
                <c:pt idx="12">
                  <c:v>0.999992326698485</c:v>
                </c:pt>
                <c:pt idx="13">
                  <c:v>0.999998922337607</c:v>
                </c:pt>
                <c:pt idx="14">
                  <c:v>0.999999848650591</c:v>
                </c:pt>
                <c:pt idx="15">
                  <c:v>0.999999978744154</c:v>
                </c:pt>
                <c:pt idx="16">
                  <c:v>0.999999997014782</c:v>
                </c:pt>
                <c:pt idx="17">
                  <c:v>0.99999999958075</c:v>
                </c:pt>
                <c:pt idx="18">
                  <c:v>0.999999999941119</c:v>
                </c:pt>
                <c:pt idx="19">
                  <c:v>0.999999999991731</c:v>
                </c:pt>
                <c:pt idx="20">
                  <c:v>0.999999999998839</c:v>
                </c:pt>
                <c:pt idx="21">
                  <c:v>0.999999999999837</c:v>
                </c:pt>
                <c:pt idx="22">
                  <c:v>0.999999999999977</c:v>
                </c:pt>
                <c:pt idx="23">
                  <c:v>0.999999999999997</c:v>
                </c:pt>
                <c:pt idx="24">
                  <c:v>1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SAA!$K$11</c:f>
              <c:strCache>
                <c:ptCount val="1"/>
                <c:pt idx="0">
                  <c:v>Bycatch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SAA!$K$12:$K$41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0.0824406</c:v>
                </c:pt>
                <c:pt idx="2">
                  <c:v>0.624065</c:v>
                </c:pt>
                <c:pt idx="3">
                  <c:v>0.999045</c:v>
                </c:pt>
                <c:pt idx="4">
                  <c:v>0.999929</c:v>
                </c:pt>
                <c:pt idx="5">
                  <c:v>0.972297</c:v>
                </c:pt>
                <c:pt idx="6">
                  <c:v>0.870108</c:v>
                </c:pt>
                <c:pt idx="7">
                  <c:v>0.733381</c:v>
                </c:pt>
                <c:pt idx="8">
                  <c:v>0.607412</c:v>
                </c:pt>
                <c:pt idx="9">
                  <c:v>0.517695</c:v>
                </c:pt>
                <c:pt idx="10">
                  <c:v>0.466217</c:v>
                </c:pt>
                <c:pt idx="11">
                  <c:v>0.441951</c:v>
                </c:pt>
                <c:pt idx="12">
                  <c:v>0.432452</c:v>
                </c:pt>
                <c:pt idx="13">
                  <c:v>0.429343</c:v>
                </c:pt>
                <c:pt idx="14">
                  <c:v>0.428489</c:v>
                </c:pt>
                <c:pt idx="15">
                  <c:v>0.428291</c:v>
                </c:pt>
                <c:pt idx="16">
                  <c:v>0.428253</c:v>
                </c:pt>
                <c:pt idx="17">
                  <c:v>0.428246</c:v>
                </c:pt>
                <c:pt idx="18">
                  <c:v>0.428245</c:v>
                </c:pt>
                <c:pt idx="19">
                  <c:v>0.428245</c:v>
                </c:pt>
                <c:pt idx="20">
                  <c:v>0.428245</c:v>
                </c:pt>
                <c:pt idx="21">
                  <c:v>0.428245</c:v>
                </c:pt>
                <c:pt idx="22">
                  <c:v>0.428245</c:v>
                </c:pt>
                <c:pt idx="23">
                  <c:v>0.428245</c:v>
                </c:pt>
                <c:pt idx="24">
                  <c:v>0.428245</c:v>
                </c:pt>
                <c:pt idx="25">
                  <c:v>0.428245</c:v>
                </c:pt>
                <c:pt idx="26">
                  <c:v>0.428245</c:v>
                </c:pt>
                <c:pt idx="27">
                  <c:v>0.428245</c:v>
                </c:pt>
                <c:pt idx="28">
                  <c:v>0.428245</c:v>
                </c:pt>
                <c:pt idx="29">
                  <c:v>0.428245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SAA!$L$11</c:f>
              <c:strCache>
                <c:ptCount val="1"/>
                <c:pt idx="0">
                  <c:v>Sport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SAA!$L$12:$L$41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0.000347471</c:v>
                </c:pt>
                <c:pt idx="2">
                  <c:v>0.00335518</c:v>
                </c:pt>
                <c:pt idx="3">
                  <c:v>0.0221787</c:v>
                </c:pt>
                <c:pt idx="4">
                  <c:v>0.100359</c:v>
                </c:pt>
                <c:pt idx="5">
                  <c:v>0.310866</c:v>
                </c:pt>
                <c:pt idx="6">
                  <c:v>0.659157</c:v>
                </c:pt>
                <c:pt idx="7">
                  <c:v>0.956812</c:v>
                </c:pt>
                <c:pt idx="8">
                  <c:v>0.999939</c:v>
                </c:pt>
                <c:pt idx="9">
                  <c:v>0.997634</c:v>
                </c:pt>
                <c:pt idx="10">
                  <c:v>0.877745</c:v>
                </c:pt>
                <c:pt idx="11">
                  <c:v>0.702508</c:v>
                </c:pt>
                <c:pt idx="12">
                  <c:v>0.601391</c:v>
                </c:pt>
                <c:pt idx="13">
                  <c:v>0.5703</c:v>
                </c:pt>
                <c:pt idx="14">
                  <c:v>0.564815</c:v>
                </c:pt>
                <c:pt idx="15">
                  <c:v>0.564243</c:v>
                </c:pt>
                <c:pt idx="16">
                  <c:v>0.564207</c:v>
                </c:pt>
                <c:pt idx="17">
                  <c:v>0.564206</c:v>
                </c:pt>
                <c:pt idx="18">
                  <c:v>0.564206</c:v>
                </c:pt>
                <c:pt idx="19">
                  <c:v>0.564206</c:v>
                </c:pt>
                <c:pt idx="20">
                  <c:v>0.564206</c:v>
                </c:pt>
                <c:pt idx="21">
                  <c:v>0.564206</c:v>
                </c:pt>
                <c:pt idx="22">
                  <c:v>0.564206</c:v>
                </c:pt>
                <c:pt idx="23">
                  <c:v>0.564206</c:v>
                </c:pt>
                <c:pt idx="24">
                  <c:v>0.564206</c:v>
                </c:pt>
                <c:pt idx="25">
                  <c:v>0.564206</c:v>
                </c:pt>
                <c:pt idx="26">
                  <c:v>0.564206</c:v>
                </c:pt>
                <c:pt idx="27">
                  <c:v>0.564206</c:v>
                </c:pt>
                <c:pt idx="28">
                  <c:v>0.564206</c:v>
                </c:pt>
                <c:pt idx="29">
                  <c:v>0.564206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SAA!$M$11</c:f>
              <c:strCache>
                <c:ptCount val="1"/>
                <c:pt idx="0">
                  <c:v>Commercial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SAA!$M$12:$M$41</c:f>
              <c:numCache>
                <c:formatCode>0.00</c:formatCode>
                <c:ptCount val="30"/>
                <c:pt idx="0">
                  <c:v>2.83643646543769E-7</c:v>
                </c:pt>
                <c:pt idx="1">
                  <c:v>5.93867705590838E-6</c:v>
                </c:pt>
                <c:pt idx="2">
                  <c:v>9.85377415251713E-5</c:v>
                </c:pt>
                <c:pt idx="3">
                  <c:v>0.00131758341888954</c:v>
                </c:pt>
                <c:pt idx="4">
                  <c:v>0.0142789502094746</c:v>
                </c:pt>
                <c:pt idx="5">
                  <c:v>0.116958027764465</c:v>
                </c:pt>
                <c:pt idx="6">
                  <c:v>0.505766342589521</c:v>
                </c:pt>
                <c:pt idx="7">
                  <c:v>0.871599261417953</c:v>
                </c:pt>
                <c:pt idx="8">
                  <c:v>0.975360289295831</c:v>
                </c:pt>
                <c:pt idx="9">
                  <c:v>0.995336224615596</c:v>
                </c:pt>
                <c:pt idx="10">
                  <c:v>0.999175807383303</c:v>
                </c:pt>
                <c:pt idx="11">
                  <c:v>0.999912225458625</c:v>
                </c:pt>
                <c:pt idx="12">
                  <c:v>0.999998436029528</c:v>
                </c:pt>
                <c:pt idx="13">
                  <c:v>0.999938744295275</c:v>
                </c:pt>
                <c:pt idx="14">
                  <c:v>0.999847535637617</c:v>
                </c:pt>
                <c:pt idx="15">
                  <c:v>0.999753057760339</c:v>
                </c:pt>
                <c:pt idx="16">
                  <c:v>0.999662640114397</c:v>
                </c:pt>
                <c:pt idx="17">
                  <c:v>0.999578080859351</c:v>
                </c:pt>
                <c:pt idx="18">
                  <c:v>0.999499610179467</c:v>
                </c:pt>
                <c:pt idx="19">
                  <c:v>0.999426996463234</c:v>
                </c:pt>
                <c:pt idx="20">
                  <c:v>0.999359877864397</c:v>
                </c:pt>
                <c:pt idx="21">
                  <c:v>0.999297867654153</c:v>
                </c:pt>
                <c:pt idx="22">
                  <c:v>0.999240588878313</c:v>
                </c:pt>
                <c:pt idx="23">
                  <c:v>0.999187685542613</c:v>
                </c:pt>
                <c:pt idx="24">
                  <c:v>0.999138825600412</c:v>
                </c:pt>
                <c:pt idx="25">
                  <c:v>0.999093700977435</c:v>
                </c:pt>
                <c:pt idx="26">
                  <c:v>0.999052026523482</c:v>
                </c:pt>
                <c:pt idx="27">
                  <c:v>0.999013538604755</c:v>
                </c:pt>
                <c:pt idx="28">
                  <c:v>0.998977993615599</c:v>
                </c:pt>
                <c:pt idx="29">
                  <c:v>0.998945166520291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SAA!$N$11</c:f>
              <c:strCache>
                <c:ptCount val="1"/>
                <c:pt idx="0">
                  <c:v>Bycatch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SAA!$N$12:$N$41</c:f>
              <c:numCache>
                <c:formatCode>0.00</c:formatCode>
                <c:ptCount val="30"/>
                <c:pt idx="0">
                  <c:v>0.0163356047035359</c:v>
                </c:pt>
                <c:pt idx="1">
                  <c:v>0.131909837061557</c:v>
                </c:pt>
                <c:pt idx="2">
                  <c:v>0.589729799195393</c:v>
                </c:pt>
                <c:pt idx="3">
                  <c:v>0.975412657544791</c:v>
                </c:pt>
                <c:pt idx="4">
                  <c:v>0.972120684048568</c:v>
                </c:pt>
                <c:pt idx="5">
                  <c:v>0.879342571752454</c:v>
                </c:pt>
                <c:pt idx="6">
                  <c:v>0.788914841715848</c:v>
                </c:pt>
                <c:pt idx="7">
                  <c:v>0.711714137922603</c:v>
                </c:pt>
                <c:pt idx="8">
                  <c:v>0.646794554334256</c:v>
                </c:pt>
                <c:pt idx="9">
                  <c:v>0.59204048448691</c:v>
                </c:pt>
                <c:pt idx="10">
                  <c:v>0.545582522553778</c:v>
                </c:pt>
                <c:pt idx="11">
                  <c:v>0.505916688656598</c:v>
                </c:pt>
                <c:pt idx="12">
                  <c:v>0.471848189714969</c:v>
                </c:pt>
                <c:pt idx="13">
                  <c:v>0.442424851821624</c:v>
                </c:pt>
                <c:pt idx="14">
                  <c:v>0.416882822043562</c:v>
                </c:pt>
                <c:pt idx="15">
                  <c:v>0.416882822043562</c:v>
                </c:pt>
                <c:pt idx="16">
                  <c:v>0.416882822043562</c:v>
                </c:pt>
                <c:pt idx="17">
                  <c:v>0.416882822043562</c:v>
                </c:pt>
                <c:pt idx="18">
                  <c:v>0.416882822043562</c:v>
                </c:pt>
                <c:pt idx="19">
                  <c:v>0.416882822043562</c:v>
                </c:pt>
                <c:pt idx="20">
                  <c:v>0.416882822043562</c:v>
                </c:pt>
                <c:pt idx="21">
                  <c:v>0.416882822043562</c:v>
                </c:pt>
                <c:pt idx="22">
                  <c:v>0.416882822043562</c:v>
                </c:pt>
                <c:pt idx="23">
                  <c:v>0.416882822043562</c:v>
                </c:pt>
                <c:pt idx="24">
                  <c:v>0.416882822043562</c:v>
                </c:pt>
                <c:pt idx="25">
                  <c:v>0.416882822043562</c:v>
                </c:pt>
                <c:pt idx="26">
                  <c:v>0.416882822043562</c:v>
                </c:pt>
                <c:pt idx="27">
                  <c:v>0.416882822043562</c:v>
                </c:pt>
                <c:pt idx="28">
                  <c:v>0.416882822043562</c:v>
                </c:pt>
                <c:pt idx="29">
                  <c:v>0.416882822043562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SAA!$O$11</c:f>
              <c:strCache>
                <c:ptCount val="1"/>
                <c:pt idx="0">
                  <c:v>Sport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SAA!$O$12:$O$41</c:f>
              <c:numCache>
                <c:formatCode>0.00</c:formatCode>
                <c:ptCount val="30"/>
                <c:pt idx="0">
                  <c:v>0.000236340572214847</c:v>
                </c:pt>
                <c:pt idx="1">
                  <c:v>0.00130995028014747</c:v>
                </c:pt>
                <c:pt idx="2">
                  <c:v>0.00636144252467109</c:v>
                </c:pt>
                <c:pt idx="3">
                  <c:v>0.0271963015411238</c:v>
                </c:pt>
                <c:pt idx="4">
                  <c:v>0.101083788861342</c:v>
                </c:pt>
                <c:pt idx="5">
                  <c:v>0.306784539686147</c:v>
                </c:pt>
                <c:pt idx="6">
                  <c:v>0.66289307656122</c:v>
                </c:pt>
                <c:pt idx="7">
                  <c:v>0.941309854600886</c:v>
                </c:pt>
                <c:pt idx="8">
                  <c:v>0.997393561809191</c:v>
                </c:pt>
                <c:pt idx="9">
                  <c:v>0.933777551518525</c:v>
                </c:pt>
                <c:pt idx="10">
                  <c:v>0.841919722279025</c:v>
                </c:pt>
                <c:pt idx="11">
                  <c:v>0.754027566448798</c:v>
                </c:pt>
                <c:pt idx="12">
                  <c:v>0.677516002398103</c:v>
                </c:pt>
                <c:pt idx="13">
                  <c:v>0.612584282421548</c:v>
                </c:pt>
                <c:pt idx="14">
                  <c:v>0.55773094822714</c:v>
                </c:pt>
                <c:pt idx="15">
                  <c:v>0.55773094822714</c:v>
                </c:pt>
                <c:pt idx="16">
                  <c:v>0.55773094822714</c:v>
                </c:pt>
                <c:pt idx="17">
                  <c:v>0.55773094822714</c:v>
                </c:pt>
                <c:pt idx="18">
                  <c:v>0.55773094822714</c:v>
                </c:pt>
                <c:pt idx="19">
                  <c:v>0.55773094822714</c:v>
                </c:pt>
                <c:pt idx="20">
                  <c:v>0.55773094822714</c:v>
                </c:pt>
                <c:pt idx="21">
                  <c:v>0.55773094822714</c:v>
                </c:pt>
                <c:pt idx="22">
                  <c:v>0.55773094822714</c:v>
                </c:pt>
                <c:pt idx="23">
                  <c:v>0.55773094822714</c:v>
                </c:pt>
                <c:pt idx="24">
                  <c:v>0.55773094822714</c:v>
                </c:pt>
                <c:pt idx="25">
                  <c:v>0.55773094822714</c:v>
                </c:pt>
                <c:pt idx="26">
                  <c:v>0.55773094822714</c:v>
                </c:pt>
                <c:pt idx="27">
                  <c:v>0.55773094822714</c:v>
                </c:pt>
                <c:pt idx="28">
                  <c:v>0.55773094822714</c:v>
                </c:pt>
                <c:pt idx="29">
                  <c:v>0.55773094822714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9237800"/>
        <c:axId val="-2039239944"/>
      </c:scatterChart>
      <c:valAx>
        <c:axId val="-2039237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39239944"/>
        <c:crosses val="autoZero"/>
        <c:crossBetween val="midCat"/>
      </c:valAx>
      <c:valAx>
        <c:axId val="-203923994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039237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622300</xdr:colOff>
      <xdr:row>33</xdr:row>
      <xdr:rowOff>127000</xdr:rowOff>
    </xdr:from>
    <xdr:to>
      <xdr:col>19</xdr:col>
      <xdr:colOff>241300</xdr:colOff>
      <xdr:row>45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48</xdr:row>
      <xdr:rowOff>76200</xdr:rowOff>
    </xdr:from>
    <xdr:to>
      <xdr:col>18</xdr:col>
      <xdr:colOff>673100</xdr:colOff>
      <xdr:row>60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546100</xdr:colOff>
      <xdr:row>12</xdr:row>
      <xdr:rowOff>63500</xdr:rowOff>
    </xdr:from>
    <xdr:to>
      <xdr:col>26</xdr:col>
      <xdr:colOff>152400</xdr:colOff>
      <xdr:row>48</xdr:row>
      <xdr:rowOff>215900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18</xdr:row>
      <xdr:rowOff>215900</xdr:rowOff>
    </xdr:from>
    <xdr:to>
      <xdr:col>11</xdr:col>
      <xdr:colOff>406400</xdr:colOff>
      <xdr:row>30</xdr:row>
      <xdr:rowOff>215900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190500</xdr:colOff>
      <xdr:row>0</xdr:row>
      <xdr:rowOff>165100</xdr:rowOff>
    </xdr:from>
    <xdr:to>
      <xdr:col>38</xdr:col>
      <xdr:colOff>342900</xdr:colOff>
      <xdr:row>39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635000</xdr:colOff>
      <xdr:row>45</xdr:row>
      <xdr:rowOff>38100</xdr:rowOff>
    </xdr:from>
    <xdr:to>
      <xdr:col>19</xdr:col>
      <xdr:colOff>254000</xdr:colOff>
      <xdr:row>57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622300</xdr:colOff>
      <xdr:row>43</xdr:row>
      <xdr:rowOff>88900</xdr:rowOff>
    </xdr:from>
    <xdr:to>
      <xdr:col>13</xdr:col>
      <xdr:colOff>241300</xdr:colOff>
      <xdr:row>55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ecutive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Executive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微软雅黑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50"/>
  <sheetViews>
    <sheetView zoomScale="125" zoomScaleNormal="125" zoomScalePageLayoutView="125" workbookViewId="0">
      <selection activeCell="J5" sqref="J5"/>
    </sheetView>
  </sheetViews>
  <sheetFormatPr baseColWidth="10" defaultRowHeight="18" x14ac:dyDescent="0"/>
  <cols>
    <col min="2" max="2" width="38.83203125" customWidth="1"/>
    <col min="3" max="4" width="13.1640625" style="3" customWidth="1"/>
    <col min="5" max="5" width="13.1640625" style="86" customWidth="1"/>
    <col min="6" max="6" width="13.1640625" customWidth="1"/>
    <col min="7" max="8" width="4" customWidth="1"/>
    <col min="9" max="12" width="13.1640625" customWidth="1"/>
  </cols>
  <sheetData>
    <row r="3" spans="2:13">
      <c r="D3" s="120" t="s">
        <v>136</v>
      </c>
      <c r="E3" s="120"/>
      <c r="F3" s="120"/>
      <c r="I3" s="121" t="s">
        <v>137</v>
      </c>
      <c r="J3" s="121"/>
      <c r="K3" s="121"/>
    </row>
    <row r="4" spans="2:13">
      <c r="B4" s="62" t="s">
        <v>132</v>
      </c>
      <c r="C4" s="51" t="s">
        <v>115</v>
      </c>
      <c r="D4" s="82" t="s">
        <v>135</v>
      </c>
      <c r="E4" s="87" t="s">
        <v>138</v>
      </c>
      <c r="F4" s="87" t="s">
        <v>134</v>
      </c>
      <c r="I4" s="91" t="s">
        <v>135</v>
      </c>
      <c r="J4" s="92" t="s">
        <v>138</v>
      </c>
      <c r="K4" s="92" t="s">
        <v>134</v>
      </c>
    </row>
    <row r="5" spans="2:13">
      <c r="B5" s="8" t="s">
        <v>106</v>
      </c>
      <c r="C5" s="114">
        <f ca="1">'Status Quo'!ye_1/1000</f>
        <v>25.843819070746505</v>
      </c>
      <c r="D5" s="116">
        <f ca="1">'Excluders (1)'!ye_1/1000</f>
        <v>22.18513399199464</v>
      </c>
      <c r="E5" s="116">
        <f ca="1">'No Size Limit (1)'!ye_1/1000</f>
        <v>24.487654004566448</v>
      </c>
      <c r="F5" s="116">
        <f ca="1">'Reduce DMR (1)'!ye_1/1000</f>
        <v>25.159187755579733</v>
      </c>
      <c r="I5" s="118">
        <f ca="1">'Excluders (2)'!ye_1/1000</f>
        <v>28.995344547135712</v>
      </c>
      <c r="J5" s="118">
        <f ca="1">'No Size Limit (2)'!ye_1/1000</f>
        <v>27.503775548065693</v>
      </c>
      <c r="K5" s="118">
        <f ca="1">'Reduce DMR (2)'!ye_1/1000</f>
        <v>27.326822963582114</v>
      </c>
    </row>
    <row r="6" spans="2:13">
      <c r="B6" s="8" t="s">
        <v>107</v>
      </c>
      <c r="C6" s="114">
        <f ca="1">'Status Quo'!ye_2/1000</f>
        <v>9.6382741980223248</v>
      </c>
      <c r="D6" s="116">
        <f ca="1">'Excluders (1)'!ye_2/1000</f>
        <v>8.2737928148068267</v>
      </c>
      <c r="E6" s="116">
        <f ca="1">'No Size Limit (1)'!ye_2/1000</f>
        <v>9.1325017837425086</v>
      </c>
      <c r="F6" s="116">
        <f ca="1">'Reduce DMR (1)'!ye_2/1000</f>
        <v>9.3829456677433303</v>
      </c>
      <c r="I6" s="118">
        <f ca="1">'Excluders (2)'!ye_2/1000</f>
        <v>5.5968490144373462</v>
      </c>
      <c r="J6" s="118">
        <f ca="1">'No Size Limit (2)'!ye_2/1000</f>
        <v>8.5660186574304493</v>
      </c>
      <c r="K6" s="118">
        <f ca="1">'Reduce DMR (2)'!ye_2/1000</f>
        <v>9.2564685328165428</v>
      </c>
    </row>
    <row r="7" spans="2:13">
      <c r="B7" s="49" t="s">
        <v>108</v>
      </c>
      <c r="C7" s="115">
        <f ca="1">'Status Quo'!ye_2/1000</f>
        <v>9.6382741980223248</v>
      </c>
      <c r="D7" s="117">
        <f ca="1">'Excluders (1)'!ye_3/1000</f>
        <v>6.2912801403410388</v>
      </c>
      <c r="E7" s="117">
        <f ca="1">'No Size Limit (1)'!ye_3/1000</f>
        <v>6.944230824932708</v>
      </c>
      <c r="F7" s="117">
        <f ca="1">'Reduce DMR (1)'!ye_3/1000</f>
        <v>7.1346649666801962</v>
      </c>
      <c r="I7" s="119">
        <f ca="1">'Excluders (2)'!ye_3/100</f>
        <v>61.73549565231923</v>
      </c>
      <c r="J7" s="119">
        <f ca="1">'No Size Limit (2)'!ye_3/1000</f>
        <v>5.5890740935872367</v>
      </c>
      <c r="K7" s="119">
        <f ca="1">'Reduce DMR (2)'!ye_3/1000</f>
        <v>5.7724178251687936</v>
      </c>
    </row>
    <row r="8" spans="2:13">
      <c r="B8" s="48" t="s">
        <v>72</v>
      </c>
      <c r="C8" s="63">
        <f ca="1">SUM(C5:C7)</f>
        <v>45.120367466791151</v>
      </c>
      <c r="D8" s="75">
        <f ca="1">SUM(D5:D7)</f>
        <v>36.750206947142502</v>
      </c>
      <c r="E8" s="75">
        <f ca="1">SUM(E5:E7)</f>
        <v>40.564386613241666</v>
      </c>
      <c r="F8" s="75">
        <f ca="1">SUM(F5:F7)</f>
        <v>41.676798390003263</v>
      </c>
      <c r="I8" s="93">
        <f ca="1">SUM(I5:I7)</f>
        <v>96.327689213892285</v>
      </c>
      <c r="J8" s="93">
        <f ca="1">SUM(J5:J7)</f>
        <v>41.65886829908338</v>
      </c>
      <c r="K8" s="93">
        <f ca="1">SUM(K5:K7)</f>
        <v>42.355709321567453</v>
      </c>
      <c r="M8" t="s">
        <v>139</v>
      </c>
    </row>
    <row r="9" spans="2:13">
      <c r="D9" s="74"/>
      <c r="F9" s="86"/>
      <c r="I9" s="94"/>
      <c r="J9" s="17"/>
      <c r="K9" s="17"/>
    </row>
    <row r="10" spans="2:13">
      <c r="B10" s="62" t="s">
        <v>126</v>
      </c>
      <c r="C10" s="88" t="s">
        <v>115</v>
      </c>
      <c r="D10" s="82" t="str">
        <f>D4</f>
        <v>Excluders</v>
      </c>
      <c r="E10" s="82" t="str">
        <f>E4</f>
        <v>Full Retention</v>
      </c>
      <c r="F10" s="87" t="str">
        <f>F4</f>
        <v>Reduce DMR</v>
      </c>
      <c r="I10" s="91" t="str">
        <f>I4</f>
        <v>Excluders</v>
      </c>
      <c r="J10" s="91" t="str">
        <f>J4</f>
        <v>Full Retention</v>
      </c>
      <c r="K10" s="92" t="str">
        <f>K4</f>
        <v>Reduce DMR</v>
      </c>
    </row>
    <row r="11" spans="2:13">
      <c r="B11" s="8" t="s">
        <v>106</v>
      </c>
      <c r="C11" s="66">
        <f ca="1">'Status Quo'!E27/10</f>
        <v>12.747207878864149</v>
      </c>
      <c r="D11" s="76">
        <f ca="1">'Excluders (1)'!E27/10</f>
        <v>13.771284947495314</v>
      </c>
      <c r="E11" s="76">
        <f ca="1">'No Size Limit (1)'!$E27/10</f>
        <v>21.428701780708394</v>
      </c>
      <c r="F11" s="76">
        <f ca="1">'Reduce DMR (1)'!$E27/10</f>
        <v>20.349057090281928</v>
      </c>
      <c r="I11" s="95">
        <f ca="1">'Excluders (2)'!E27/10</f>
        <v>24.533035775160055</v>
      </c>
      <c r="J11" s="95">
        <f ca="1">'No Size Limit (2)'!$E27/10</f>
        <v>23.491426520820148</v>
      </c>
      <c r="K11" s="95">
        <f ca="1">'Reduce DMR (2)'!$E27/10</f>
        <v>21.021402323232675</v>
      </c>
    </row>
    <row r="12" spans="2:13">
      <c r="B12" s="8" t="s">
        <v>107</v>
      </c>
      <c r="C12" s="66">
        <f ca="1">'Status Quo'!E28</f>
        <v>39.461956078232795</v>
      </c>
      <c r="D12" s="76">
        <f ca="1">'Excluders (1)'!E28</f>
        <v>201.23438232103834</v>
      </c>
      <c r="E12" s="76">
        <f ca="1">'No Size Limit (1)'!$E28</f>
        <v>35.98151431430869</v>
      </c>
      <c r="F12" s="76">
        <f ca="1">'Reduce DMR (1)'!$E28</f>
        <v>148.89488932595819</v>
      </c>
      <c r="I12" s="95">
        <f ca="1">'Excluders (2)'!E28</f>
        <v>125.22357203548579</v>
      </c>
      <c r="J12" s="95">
        <f ca="1">'No Size Limit (2)'!$E28</f>
        <v>32.127518390807978</v>
      </c>
      <c r="K12" s="95">
        <f ca="1">'Reduce DMR (2)'!$E28</f>
        <v>140.74879439665489</v>
      </c>
    </row>
    <row r="13" spans="2:13">
      <c r="B13" s="49" t="s">
        <v>108</v>
      </c>
      <c r="C13" s="67">
        <f ca="1">'Status Quo'!E29</f>
        <v>30.775638297705683</v>
      </c>
      <c r="D13" s="77">
        <f ca="1">'Excluders (1)'!E29</f>
        <v>16.029056510573863</v>
      </c>
      <c r="E13" s="77">
        <f ca="1">'No Size Limit (1)'!$E29</f>
        <v>18.007402016540144</v>
      </c>
      <c r="F13" s="76">
        <f ca="1">'Reduce DMR (1)'!$E29</f>
        <v>17.606250828024006</v>
      </c>
      <c r="I13" s="95">
        <f ca="1">'Excluders (2)'!E29</f>
        <v>15.674376646944802</v>
      </c>
      <c r="J13" s="96">
        <f ca="1">'No Size Limit (2)'!$E29</f>
        <v>13.655943054894962</v>
      </c>
      <c r="K13" s="95">
        <f ca="1">'Reduce DMR (2)'!$E29</f>
        <v>13.509114461402788</v>
      </c>
    </row>
    <row r="14" spans="2:13">
      <c r="B14" s="48" t="s">
        <v>72</v>
      </c>
      <c r="C14" s="70">
        <f ca="1">SUM(C11:C13)</f>
        <v>82.984802254802631</v>
      </c>
      <c r="D14" s="78">
        <f ca="1">SUM(D11:D13)</f>
        <v>231.03472377910751</v>
      </c>
      <c r="E14" s="78">
        <f ca="1">SUM(E11:E13)</f>
        <v>75.417618111557232</v>
      </c>
      <c r="F14" s="106">
        <f ca="1">SUM(F11:F13)</f>
        <v>186.85019724426411</v>
      </c>
      <c r="I14" s="103">
        <f ca="1">SUM(I11:I13)</f>
        <v>165.43098445759065</v>
      </c>
      <c r="J14" s="97">
        <f ca="1">SUM(J11:J13)</f>
        <v>69.274887966523096</v>
      </c>
      <c r="K14" s="103">
        <f ca="1">SUM(K11:K13)</f>
        <v>175.27931118129035</v>
      </c>
    </row>
    <row r="15" spans="2:13">
      <c r="B15" s="48"/>
      <c r="C15" s="70"/>
      <c r="D15" s="78"/>
      <c r="E15" s="78"/>
      <c r="F15" s="110"/>
      <c r="I15" s="111"/>
      <c r="J15" s="97"/>
      <c r="K15" s="111"/>
    </row>
    <row r="16" spans="2:13">
      <c r="B16" s="62" t="s">
        <v>142</v>
      </c>
      <c r="C16" s="88" t="s">
        <v>115</v>
      </c>
      <c r="D16" s="82" t="str">
        <f>D10</f>
        <v>Excluders</v>
      </c>
      <c r="E16" s="82" t="str">
        <f>E10</f>
        <v>Full Retention</v>
      </c>
      <c r="F16" s="87" t="str">
        <f>F10</f>
        <v>Reduce DMR</v>
      </c>
      <c r="I16" s="91" t="str">
        <f>I10</f>
        <v>Excluders</v>
      </c>
      <c r="J16" s="91" t="str">
        <f>J10</f>
        <v>Full Retention</v>
      </c>
      <c r="K16" s="92" t="str">
        <f>K10</f>
        <v>Reduce DMR</v>
      </c>
    </row>
    <row r="17" spans="2:11">
      <c r="B17" s="8" t="s">
        <v>106</v>
      </c>
      <c r="C17" s="66">
        <f ca="1">C5/C11</f>
        <v>2.0274101839664467</v>
      </c>
      <c r="D17" s="76">
        <f t="shared" ref="D17:F17" ca="1" si="0">D5/D11</f>
        <v>1.6109705141225485</v>
      </c>
      <c r="E17" s="76">
        <f t="shared" ca="1" si="0"/>
        <v>1.1427502354161247</v>
      </c>
      <c r="F17" s="76">
        <f t="shared" ca="1" si="0"/>
        <v>1.2363810098893955</v>
      </c>
      <c r="I17" s="95">
        <f t="shared" ref="I17:K17" ca="1" si="1">I5/I11</f>
        <v>1.1818897919063807</v>
      </c>
      <c r="J17" s="95">
        <f t="shared" ca="1" si="1"/>
        <v>1.1708005694626271</v>
      </c>
      <c r="K17" s="95">
        <f t="shared" ca="1" si="1"/>
        <v>1.2999524267408527</v>
      </c>
    </row>
    <row r="18" spans="2:11">
      <c r="B18" s="8" t="s">
        <v>107</v>
      </c>
      <c r="C18" s="66">
        <f t="shared" ref="C18:F19" ca="1" si="2">C6/C12</f>
        <v>0.24424218046653787</v>
      </c>
      <c r="D18" s="76">
        <f t="shared" ca="1" si="2"/>
        <v>4.1115204665211083E-2</v>
      </c>
      <c r="E18" s="76">
        <f t="shared" ca="1" si="2"/>
        <v>0.2538109348030082</v>
      </c>
      <c r="F18" s="76">
        <f t="shared" ca="1" si="2"/>
        <v>6.3017244649696089E-2</v>
      </c>
      <c r="I18" s="95">
        <f t="shared" ref="I18:K18" ca="1" si="3">I6/I12</f>
        <v>4.4694851963265461E-2</v>
      </c>
      <c r="J18" s="95">
        <f t="shared" ca="1" si="3"/>
        <v>0.26662559346262105</v>
      </c>
      <c r="K18" s="95">
        <f t="shared" ca="1" si="3"/>
        <v>6.5765881494730144E-2</v>
      </c>
    </row>
    <row r="19" spans="2:11">
      <c r="B19" s="49" t="s">
        <v>108</v>
      </c>
      <c r="C19" s="66">
        <f t="shared" ca="1" si="2"/>
        <v>0.31317869364031536</v>
      </c>
      <c r="D19" s="76">
        <f t="shared" ca="1" si="2"/>
        <v>0.39249223035622088</v>
      </c>
      <c r="E19" s="76">
        <f t="shared" ca="1" si="2"/>
        <v>0.38563202057433377</v>
      </c>
      <c r="F19" s="76">
        <f t="shared" ca="1" si="2"/>
        <v>0.40523476783165524</v>
      </c>
      <c r="I19" s="95">
        <f t="shared" ref="I19:K19" ca="1" si="4">I7/I13</f>
        <v>3.9386252508071835</v>
      </c>
      <c r="J19" s="95">
        <f t="shared" ca="1" si="4"/>
        <v>0.40927778265623604</v>
      </c>
      <c r="K19" s="95">
        <f t="shared" ca="1" si="4"/>
        <v>0.42729801732462225</v>
      </c>
    </row>
    <row r="20" spans="2:11">
      <c r="B20" s="48" t="s">
        <v>129</v>
      </c>
      <c r="C20" s="112">
        <f ca="1">AVERAGE(C17:C19)</f>
        <v>0.86161035269110009</v>
      </c>
      <c r="D20" s="106">
        <f t="shared" ref="D20:F20" ca="1" si="5">AVERAGE(D17:D19)</f>
        <v>0.6815259830479935</v>
      </c>
      <c r="E20" s="106">
        <f t="shared" ca="1" si="5"/>
        <v>0.59406439693115554</v>
      </c>
      <c r="F20" s="106">
        <f t="shared" ca="1" si="5"/>
        <v>0.56821100745691566</v>
      </c>
      <c r="I20" s="103">
        <f t="shared" ref="I20" ca="1" si="6">AVERAGE(I17:I19)</f>
        <v>1.7217366315589431</v>
      </c>
      <c r="J20" s="103">
        <f t="shared" ref="J20" ca="1" si="7">AVERAGE(J17:J19)</f>
        <v>0.61556798186049477</v>
      </c>
      <c r="K20" s="103">
        <f t="shared" ref="K20" ca="1" si="8">AVERAGE(K17:K19)</f>
        <v>0.59767210852006836</v>
      </c>
    </row>
    <row r="21" spans="2:11">
      <c r="D21" s="74"/>
      <c r="F21" s="86"/>
      <c r="I21" s="94"/>
      <c r="J21" s="17"/>
      <c r="K21" s="17"/>
    </row>
    <row r="22" spans="2:11">
      <c r="B22" s="69" t="s">
        <v>130</v>
      </c>
      <c r="C22" s="88" t="s">
        <v>115</v>
      </c>
      <c r="D22" s="82" t="str">
        <f>D4</f>
        <v>Excluders</v>
      </c>
      <c r="E22" s="82" t="str">
        <f>E4</f>
        <v>Full Retention</v>
      </c>
      <c r="F22" s="87" t="str">
        <f>F4</f>
        <v>Reduce DMR</v>
      </c>
      <c r="I22" s="91" t="str">
        <f>I4</f>
        <v>Excluders</v>
      </c>
      <c r="J22" s="91" t="str">
        <f>J4</f>
        <v>Full Retention</v>
      </c>
      <c r="K22" s="92" t="str">
        <f>K4</f>
        <v>Reduce DMR</v>
      </c>
    </row>
    <row r="23" spans="2:11">
      <c r="B23" s="8" t="s">
        <v>106</v>
      </c>
      <c r="C23" s="64">
        <f ca="1">'Status Quo'!C4</f>
        <v>0.60367371601208464</v>
      </c>
      <c r="D23" s="79">
        <f ca="1">'Excluders (1)'!C4</f>
        <v>0.60367371601208453</v>
      </c>
      <c r="E23" s="79">
        <f ca="1">'No Size Limit (1)'!$C4</f>
        <v>0.60367371601208453</v>
      </c>
      <c r="F23" s="79">
        <f ca="1">'Reduce DMR (1)'!$C4</f>
        <v>0.60367371601208453</v>
      </c>
      <c r="I23" s="98">
        <f ca="1">'Excluders (2)'!C4</f>
        <v>0.71126741040739683</v>
      </c>
      <c r="J23" s="98">
        <f ca="1">'No Size Limit (2)'!$C4</f>
        <v>0.66021417938208493</v>
      </c>
      <c r="K23" s="98">
        <f ca="1">'Reduce DMR (2)'!$C4</f>
        <v>0.64517448535957689</v>
      </c>
    </row>
    <row r="24" spans="2:11">
      <c r="B24" s="8" t="s">
        <v>107</v>
      </c>
      <c r="C24" s="64">
        <f ca="1">'Status Quo'!C5</f>
        <v>0.22513595166163133</v>
      </c>
      <c r="D24" s="79">
        <f ca="1">'Excluders (1)'!C5</f>
        <v>0.22513595166163142</v>
      </c>
      <c r="E24" s="79">
        <f ca="1">'No Size Limit (1)'!$C5</f>
        <v>0.22513595166163139</v>
      </c>
      <c r="F24" s="79">
        <f ca="1">'Reduce DMR (1)'!$C5</f>
        <v>0.22513595166163144</v>
      </c>
      <c r="I24" s="98">
        <f ca="1">'Excluders (2)'!C5</f>
        <v>0.13729294709599474</v>
      </c>
      <c r="J24" s="98">
        <f ca="1">'No Size Limit (2)'!$C5</f>
        <v>0.20562293233536852</v>
      </c>
      <c r="K24" s="98">
        <f ca="1">'Reduce DMR (2)'!$C5</f>
        <v>0.21854122339306845</v>
      </c>
    </row>
    <row r="25" spans="2:11">
      <c r="B25" s="49" t="s">
        <v>108</v>
      </c>
      <c r="C25" s="68">
        <f ca="1">'Status Quo'!C6</f>
        <v>0.171190332326284</v>
      </c>
      <c r="D25" s="80">
        <f ca="1">'Excluders (1)'!C6</f>
        <v>0.17119033232628403</v>
      </c>
      <c r="E25" s="80">
        <f ca="1">'No Size Limit (1)'!$C6</f>
        <v>0.17119033232628403</v>
      </c>
      <c r="F25" s="79">
        <f ca="1">'Reduce DMR (1)'!$C6</f>
        <v>0.17119033232628403</v>
      </c>
      <c r="I25" s="98">
        <f ca="1">'Excluders (2)'!C6</f>
        <v>0.15143964249660855</v>
      </c>
      <c r="J25" s="99">
        <f ca="1">'No Size Limit (2)'!$C6</f>
        <v>0.13416288828254641</v>
      </c>
      <c r="K25" s="98">
        <f ca="1">'Reduce DMR (2)'!$C6</f>
        <v>0.13628429124735464</v>
      </c>
    </row>
    <row r="26" spans="2:11">
      <c r="B26" s="48" t="s">
        <v>72</v>
      </c>
      <c r="C26" s="65">
        <f ca="1">SUM(C23:C25)</f>
        <v>1</v>
      </c>
      <c r="D26" s="81">
        <f ca="1">SUM(D23:D25)</f>
        <v>1</v>
      </c>
      <c r="E26" s="81">
        <f ca="1">SUM(E23:E25)</f>
        <v>0.99999999999999989</v>
      </c>
      <c r="F26" s="89">
        <f ca="1">SUM(F23:F25)</f>
        <v>1</v>
      </c>
      <c r="I26" s="104">
        <f ca="1">SUM(I23:I25)</f>
        <v>1</v>
      </c>
      <c r="J26" s="100">
        <f ca="1">SUM(J23:J25)</f>
        <v>0.99999999999999989</v>
      </c>
      <c r="K26" s="104">
        <f ca="1">SUM(K23:K25)</f>
        <v>1</v>
      </c>
    </row>
    <row r="27" spans="2:11">
      <c r="D27" s="74"/>
      <c r="F27" s="86"/>
      <c r="I27" s="94"/>
      <c r="J27" s="17"/>
      <c r="K27" s="17"/>
    </row>
    <row r="28" spans="2:11">
      <c r="B28" s="69" t="s">
        <v>131</v>
      </c>
      <c r="C28" s="88" t="s">
        <v>115</v>
      </c>
      <c r="D28" s="82" t="str">
        <f>D4</f>
        <v>Excluders</v>
      </c>
      <c r="E28" s="82" t="str">
        <f>E4</f>
        <v>Full Retention</v>
      </c>
      <c r="F28" s="87" t="str">
        <f>F4</f>
        <v>Reduce DMR</v>
      </c>
      <c r="I28" s="91" t="str">
        <f>I4</f>
        <v>Excluders</v>
      </c>
      <c r="J28" s="91" t="str">
        <f>J4</f>
        <v>Full Retention</v>
      </c>
      <c r="K28" s="92" t="str">
        <f>K4</f>
        <v>Reduce DMR</v>
      </c>
    </row>
    <row r="29" spans="2:11">
      <c r="B29" s="8" t="s">
        <v>106</v>
      </c>
      <c r="C29" s="64">
        <f ca="1">'Status Quo'!C11</f>
        <v>0.33281383386907948</v>
      </c>
      <c r="D29" s="79">
        <f ca="1">'Excluders (1)'!C11</f>
        <v>0.20363299727562001</v>
      </c>
      <c r="E29" s="79">
        <f ca="1">'No Size Limit (1)'!$C11</f>
        <v>0.28363576736936597</v>
      </c>
      <c r="F29" s="79">
        <f ca="1">'Reduce DMR (1)'!$C11</f>
        <v>0.30004283434636758</v>
      </c>
      <c r="I29" s="98">
        <f ca="1">'Excluders (2)'!C11</f>
        <v>0.33281383386907937</v>
      </c>
      <c r="J29" s="98">
        <f ca="1">'No Size Limit (2)'!$C11</f>
        <v>0.33281383386907942</v>
      </c>
      <c r="K29" s="98">
        <f ca="1">'Reduce DMR (2)'!$C11</f>
        <v>0.33281383386907953</v>
      </c>
    </row>
    <row r="30" spans="2:11">
      <c r="B30" s="8">
        <v>0</v>
      </c>
      <c r="C30" s="64">
        <f ca="1">'Status Quo'!C12</f>
        <v>0.52899969970753113</v>
      </c>
      <c r="D30" s="79">
        <f ca="1">'Excluders (1)'!C12</f>
        <v>0.68157873728163154</v>
      </c>
      <c r="E30" s="79">
        <f ca="1">'No Size Limit (1)'!$C12</f>
        <v>0.55044115511719194</v>
      </c>
      <c r="F30" s="79">
        <f ca="1">'Reduce DMR (1)'!$C12</f>
        <v>0.53174446697831579</v>
      </c>
      <c r="I30" s="98">
        <f ca="1">'Excluders (2)'!C12</f>
        <v>0.52899969970753113</v>
      </c>
      <c r="J30" s="98">
        <f ca="1">'No Size Limit (2)'!$C12</f>
        <v>0.52899969970753113</v>
      </c>
      <c r="K30" s="98">
        <f ca="1">'Reduce DMR (2)'!$C12</f>
        <v>0.52899969970753113</v>
      </c>
    </row>
    <row r="31" spans="2:11">
      <c r="B31" s="49" t="s">
        <v>108</v>
      </c>
      <c r="C31" s="68">
        <f ca="1">'Status Quo'!C13</f>
        <v>0.13818646642338955</v>
      </c>
      <c r="D31" s="80">
        <f ca="1">'Excluders (1)'!C13</f>
        <v>0.11478826544274839</v>
      </c>
      <c r="E31" s="79">
        <f ca="1">'No Size Limit (1)'!$C13</f>
        <v>0.16592307751344212</v>
      </c>
      <c r="F31" s="79">
        <f ca="1">'Reduce DMR (1)'!$C13</f>
        <v>0.1682126986753166</v>
      </c>
      <c r="I31" s="98">
        <f ca="1">'Excluders (2)'!C13</f>
        <v>0.13818646642338936</v>
      </c>
      <c r="J31" s="98">
        <f ca="1">'No Size Limit (2)'!$C13</f>
        <v>0.13818646642338941</v>
      </c>
      <c r="K31" s="98">
        <f ca="1">'Reduce DMR (2)'!$C13</f>
        <v>0.13818646642338939</v>
      </c>
    </row>
    <row r="32" spans="2:11">
      <c r="B32" s="48" t="s">
        <v>72</v>
      </c>
      <c r="C32" s="65">
        <f ca="1">SUM(C29:C31)</f>
        <v>1.0000000000000002</v>
      </c>
      <c r="D32" s="81">
        <f ca="1">SUM(D29:D31)</f>
        <v>1</v>
      </c>
      <c r="E32" s="89">
        <f ca="1">SUM(E29:E31)</f>
        <v>1</v>
      </c>
      <c r="F32" s="89">
        <f ca="1">SUM(F29:F31)</f>
        <v>1</v>
      </c>
      <c r="I32" s="104">
        <f ca="1">SUM(I29:I31)</f>
        <v>0.99999999999999989</v>
      </c>
      <c r="J32" s="104">
        <f ca="1">SUM(J29:J31)</f>
        <v>1</v>
      </c>
      <c r="K32" s="104">
        <f ca="1">SUM(K29:K31)</f>
        <v>1</v>
      </c>
    </row>
    <row r="33" spans="2:11">
      <c r="D33" s="74"/>
      <c r="F33" s="86"/>
      <c r="I33" s="94"/>
      <c r="J33" s="17"/>
      <c r="K33" s="17"/>
    </row>
    <row r="34" spans="2:11">
      <c r="B34" s="62" t="s">
        <v>133</v>
      </c>
      <c r="C34" s="88" t="s">
        <v>115</v>
      </c>
      <c r="D34" s="82" t="str">
        <f>D4</f>
        <v>Excluders</v>
      </c>
      <c r="E34" s="82" t="str">
        <f>E4</f>
        <v>Full Retention</v>
      </c>
      <c r="F34" s="87" t="str">
        <f>F4</f>
        <v>Reduce DMR</v>
      </c>
      <c r="I34" s="91" t="str">
        <f>I4</f>
        <v>Excluders</v>
      </c>
      <c r="J34" s="91" t="str">
        <f>J4</f>
        <v>Full Retention</v>
      </c>
      <c r="K34" s="92" t="str">
        <f>K4</f>
        <v>Reduce DMR</v>
      </c>
    </row>
    <row r="35" spans="2:11">
      <c r="B35" s="8" t="s">
        <v>106</v>
      </c>
      <c r="C35" s="71">
        <f ca="1">avg_wt1</f>
        <v>27.965796846160998</v>
      </c>
      <c r="D35" s="83">
        <f ca="1">'Excluders (1)'!avg_wt1</f>
        <v>59.725623146655145</v>
      </c>
      <c r="E35" s="83">
        <f ca="1">'No Size Limit (1)'!avg_wt1</f>
        <v>55.87216293083948</v>
      </c>
      <c r="F35" s="83">
        <f ca="1">'Reduce DMR (1)'!avg_wt1</f>
        <v>56.243981580945039</v>
      </c>
      <c r="I35" s="101">
        <f ca="1">'Excluders (2)'!avg_wt1</f>
        <v>55.628569858041502</v>
      </c>
      <c r="J35" s="101">
        <f ca="1">'No Size Limit (2)'!avg_wt1</f>
        <v>55.253535720671394</v>
      </c>
      <c r="K35" s="101">
        <f ca="1">'Reduce DMR (2)'!avg_wt1</f>
        <v>56.033652856173013</v>
      </c>
    </row>
    <row r="36" spans="2:11">
      <c r="B36" s="8" t="s">
        <v>107</v>
      </c>
      <c r="C36" s="71">
        <f ca="1">avg_wt2</f>
        <v>6.5616902965596058</v>
      </c>
      <c r="D36" s="83">
        <f ca="1">'Excluders (1)'!avg_wt2</f>
        <v>6.6548059330886309</v>
      </c>
      <c r="E36" s="83">
        <f ca="1">'No Size Limit (1)'!avg_wt2</f>
        <v>10.737128924240285</v>
      </c>
      <c r="F36" s="83">
        <f ca="1">'Reduce DMR (1)'!avg_wt2</f>
        <v>11.835835554712046</v>
      </c>
      <c r="I36" s="101">
        <f ca="1">'Excluders (2)'!avg_wt2</f>
        <v>6.7555257984811359</v>
      </c>
      <c r="J36" s="101">
        <f ca="1">'No Size Limit (2)'!avg_wt2</f>
        <v>10.826615651921191</v>
      </c>
      <c r="K36" s="101">
        <f ca="1">'Reduce DMR (2)'!avg_wt2</f>
        <v>11.941285053669185</v>
      </c>
    </row>
    <row r="37" spans="2:11">
      <c r="B37" s="49" t="s">
        <v>108</v>
      </c>
      <c r="C37" s="72">
        <f ca="1">avg_wt3</f>
        <v>19.10029279990302</v>
      </c>
      <c r="D37" s="84">
        <f ca="1">'Excluders (1)'!avg_wt3</f>
        <v>30.046114502324624</v>
      </c>
      <c r="E37" s="83">
        <f ca="1">'No Size Limit (1)'!avg_wt3</f>
        <v>27.084863651871267</v>
      </c>
      <c r="F37" s="83">
        <f ca="1">'Reduce DMR (1)'!avg_wt3</f>
        <v>28.449687890666102</v>
      </c>
      <c r="I37" s="102">
        <f ca="1">'Excluders (2)'!avg_wt3</f>
        <v>28.525969852072912</v>
      </c>
      <c r="J37" s="101">
        <f ca="1">'No Size Limit (2)'!avg_wt3</f>
        <v>27.042291157999379</v>
      </c>
      <c r="K37" s="101">
        <f ca="1">'Reduce DMR (2)'!avg_wt3</f>
        <v>28.507124310469173</v>
      </c>
    </row>
    <row r="38" spans="2:11">
      <c r="B38" s="48" t="s">
        <v>129</v>
      </c>
      <c r="C38" s="73">
        <f ca="1">AVERAGE(C35:C37)</f>
        <v>17.875926647541206</v>
      </c>
      <c r="D38" s="85">
        <f ca="1">AVERAGE(D35:D37)</f>
        <v>32.142181194022804</v>
      </c>
      <c r="E38" s="90">
        <f ca="1">AVERAGE(E35:E37)</f>
        <v>31.231385168983678</v>
      </c>
      <c r="F38" s="90">
        <f ca="1">AVERAGE(F35:F37)</f>
        <v>32.17650167544106</v>
      </c>
      <c r="I38" s="105">
        <f ca="1">AVERAGE(I35:I37)</f>
        <v>30.303355169531851</v>
      </c>
      <c r="J38" s="105">
        <f ca="1">AVERAGE(J35:J37)</f>
        <v>31.040814176863989</v>
      </c>
      <c r="K38" s="105">
        <f ca="1">AVERAGE(K35:K37)</f>
        <v>32.160687406770457</v>
      </c>
    </row>
    <row r="39" spans="2:11">
      <c r="I39" s="17"/>
    </row>
    <row r="46" spans="2:11">
      <c r="C46" s="52" t="s">
        <v>127</v>
      </c>
      <c r="D46" s="52"/>
      <c r="E46" s="52"/>
      <c r="F46" s="52"/>
    </row>
    <row r="47" spans="2:11">
      <c r="C47" s="54"/>
      <c r="D47" s="51" t="s">
        <v>106</v>
      </c>
      <c r="E47" s="51" t="s">
        <v>107</v>
      </c>
      <c r="F47" s="51" t="s">
        <v>108</v>
      </c>
    </row>
    <row r="48" spans="2:11">
      <c r="C48" s="55" t="s">
        <v>106</v>
      </c>
      <c r="D48" s="50">
        <f ca="1">'Status Quo'!G47</f>
        <v>1</v>
      </c>
      <c r="E48" s="50">
        <f ca="1">'Status Quo'!H47</f>
        <v>0.91000504782951086</v>
      </c>
      <c r="F48" s="50">
        <f ca="1">'Status Quo'!I47</f>
        <v>0.91577428375958225</v>
      </c>
    </row>
    <row r="49" spans="3:6">
      <c r="C49" s="55" t="s">
        <v>107</v>
      </c>
      <c r="D49" s="50">
        <f ca="1">'Status Quo'!G48</f>
        <v>1.098895003258652</v>
      </c>
      <c r="E49" s="50">
        <f ca="1">'Status Quo'!H48</f>
        <v>1</v>
      </c>
      <c r="F49" s="50">
        <f ca="1">'Status Quo'!I48</f>
        <v>2.137263861501205</v>
      </c>
    </row>
    <row r="50" spans="3:6">
      <c r="C50" s="56" t="s">
        <v>108</v>
      </c>
      <c r="D50" s="53">
        <f ca="1">'Status Quo'!G49</f>
        <v>1.0919721352019638</v>
      </c>
      <c r="E50" s="53">
        <f ca="1">'Status Quo'!H49</f>
        <v>0.46788794683385715</v>
      </c>
      <c r="F50" s="53">
        <f ca="1">'Status Quo'!I49</f>
        <v>1</v>
      </c>
    </row>
  </sheetData>
  <mergeCells count="2">
    <mergeCell ref="D3:F3"/>
    <mergeCell ref="I3:K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Q67" sqref="Q67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 t="shared" ref="B4:B6" si="0">E4/SUM(E$4:E$6)</f>
        <v>0.60367371601208464</v>
      </c>
      <c r="C4" s="22">
        <f ca="1">ypr1/SUM(ypr1,ypr2,ypr3)</f>
        <v>0.60367371601208464</v>
      </c>
      <c r="E4" s="47">
        <v>24977</v>
      </c>
      <c r="F4" s="47">
        <f ca="1">ye_1</f>
        <v>25843.819070746504</v>
      </c>
      <c r="J4" t="s">
        <v>78</v>
      </c>
      <c r="K4" s="1">
        <f t="shared" ref="K4:AH4" si="1">linf*(1-EXP(-vonbk*(age+to)))</f>
        <v>17.988476469494113</v>
      </c>
      <c r="L4" s="1">
        <f t="shared" si="1"/>
        <v>28.143591925289599</v>
      </c>
      <c r="M4" s="1">
        <f t="shared" si="1"/>
        <v>37.522488728582118</v>
      </c>
      <c r="N4" s="1">
        <f t="shared" si="1"/>
        <v>46.184498100086614</v>
      </c>
      <c r="O4" s="1">
        <f t="shared" si="1"/>
        <v>54.184416206200311</v>
      </c>
      <c r="P4" s="1">
        <f t="shared" si="1"/>
        <v>61.57285080141822</v>
      </c>
      <c r="Q4" s="1">
        <f t="shared" si="1"/>
        <v>68.39654137471237</v>
      </c>
      <c r="R4" s="1">
        <f t="shared" si="1"/>
        <v>74.698654825131271</v>
      </c>
      <c r="S4" s="1">
        <f t="shared" si="1"/>
        <v>80.519058537074145</v>
      </c>
      <c r="T4" s="1">
        <f t="shared" si="1"/>
        <v>85.894572582722859</v>
      </c>
      <c r="U4" s="1">
        <f t="shared" si="1"/>
        <v>90.859202647073005</v>
      </c>
      <c r="V4" s="1">
        <f t="shared" si="1"/>
        <v>95.44435514905561</v>
      </c>
      <c r="W4" s="1">
        <f t="shared" si="1"/>
        <v>99.679035919613639</v>
      </c>
      <c r="X4" s="1">
        <f t="shared" si="1"/>
        <v>103.59003369357639</v>
      </c>
      <c r="Y4" s="1">
        <f t="shared" si="1"/>
        <v>107.20208957610895</v>
      </c>
      <c r="Z4" s="1">
        <f t="shared" si="1"/>
        <v>110.53805355578629</v>
      </c>
      <c r="AA4" s="1">
        <f t="shared" si="1"/>
        <v>113.61902905439959</v>
      </c>
      <c r="AB4" s="1">
        <f t="shared" si="1"/>
        <v>116.46450642792129</v>
      </c>
      <c r="AC4" s="1">
        <f t="shared" si="1"/>
        <v>119.09248626316123</v>
      </c>
      <c r="AD4" s="1">
        <f t="shared" si="1"/>
        <v>121.5195932500919</v>
      </c>
      <c r="AE4" s="1">
        <f t="shared" si="1"/>
        <v>123.76118135020377</v>
      </c>
      <c r="AF4" s="1">
        <f t="shared" si="1"/>
        <v>125.83143092618859</v>
      </c>
      <c r="AG4" s="1">
        <f t="shared" si="1"/>
        <v>127.74343844739712</v>
      </c>
      <c r="AH4" s="1">
        <f t="shared" si="1"/>
        <v>129.50929933855022</v>
      </c>
      <c r="AI4" s="1">
        <f>linf*(1-EXP(-vonbk*(age+to)))</f>
        <v>131.14018449580794</v>
      </c>
    </row>
    <row r="5" spans="1:35">
      <c r="A5" t="s">
        <v>107</v>
      </c>
      <c r="B5" s="25">
        <f t="shared" si="0"/>
        <v>0.22513595166163142</v>
      </c>
      <c r="C5" s="22">
        <f ca="1">ypr2/SUM(ypr1,ypr2,ypr3)</f>
        <v>0.22513595166163133</v>
      </c>
      <c r="E5" s="47">
        <v>9315</v>
      </c>
      <c r="F5" s="47">
        <f ca="1">ye_2</f>
        <v>9638.2741980223254</v>
      </c>
      <c r="J5" t="s">
        <v>3</v>
      </c>
      <c r="K5" s="9">
        <f t="shared" ref="K5:AI5" si="2">0.00000692*len^3.24</f>
        <v>8.0591250295953529E-2</v>
      </c>
      <c r="L5" s="9">
        <f t="shared" si="2"/>
        <v>0.34363370566266072</v>
      </c>
      <c r="M5" s="9">
        <f t="shared" si="2"/>
        <v>0.87259153282617785</v>
      </c>
      <c r="N5" s="9">
        <f t="shared" si="2"/>
        <v>1.7103062171013885</v>
      </c>
      <c r="O5" s="9">
        <f t="shared" si="2"/>
        <v>2.8698496560174083</v>
      </c>
      <c r="P5" s="9">
        <f t="shared" si="2"/>
        <v>4.3423747683644223</v>
      </c>
      <c r="Q5" s="9">
        <f t="shared" si="2"/>
        <v>6.1040307381029919</v>
      </c>
      <c r="R5" s="9">
        <f t="shared" si="2"/>
        <v>8.1215608997688467</v>
      </c>
      <c r="S5" s="9">
        <f t="shared" si="2"/>
        <v>10.356615299778024</v>
      </c>
      <c r="T5" s="9">
        <f t="shared" si="2"/>
        <v>12.768945602324001</v>
      </c>
      <c r="U5" s="9">
        <f t="shared" si="2"/>
        <v>15.318681949781219</v>
      </c>
      <c r="V5" s="9">
        <f t="shared" si="2"/>
        <v>17.967882472883005</v>
      </c>
      <c r="W5" s="9">
        <f t="shared" si="2"/>
        <v>20.681522180929445</v>
      </c>
      <c r="X5" s="9">
        <f t="shared" si="2"/>
        <v>23.428060198405031</v>
      </c>
      <c r="Y5" s="9">
        <f t="shared" si="2"/>
        <v>26.179697655464775</v>
      </c>
      <c r="Z5" s="9">
        <f t="shared" si="2"/>
        <v>28.91241495110766</v>
      </c>
      <c r="AA5" s="9">
        <f t="shared" si="2"/>
        <v>31.605857162379316</v>
      </c>
      <c r="AB5" s="9">
        <f t="shared" si="2"/>
        <v>34.243119993698208</v>
      </c>
      <c r="AC5" s="9">
        <f t="shared" si="2"/>
        <v>36.810475489355632</v>
      </c>
      <c r="AD5" s="9">
        <f t="shared" si="2"/>
        <v>39.297066315159647</v>
      </c>
      <c r="AE5" s="9">
        <f t="shared" si="2"/>
        <v>41.694589292671694</v>
      </c>
      <c r="AF5" s="9">
        <f t="shared" si="2"/>
        <v>43.996982619123806</v>
      </c>
      <c r="AG5" s="9">
        <f t="shared" si="2"/>
        <v>46.200126459138957</v>
      </c>
      <c r="AH5" s="9">
        <f t="shared" si="2"/>
        <v>48.30156303905391</v>
      </c>
      <c r="AI5" s="9">
        <f t="shared" si="2"/>
        <v>50.300239753226329</v>
      </c>
    </row>
    <row r="6" spans="1:35">
      <c r="A6" t="s">
        <v>108</v>
      </c>
      <c r="B6" s="25">
        <f t="shared" si="0"/>
        <v>0.171190332326284</v>
      </c>
      <c r="C6" s="22">
        <f ca="1">ypr3/SUM(ypr1,ypr2,ypr3)</f>
        <v>0.171190332326284</v>
      </c>
      <c r="E6" s="47">
        <v>7083</v>
      </c>
      <c r="F6" s="47">
        <f ca="1">ye_3</f>
        <v>7328.8133273850945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0.45</v>
      </c>
      <c r="C7" s="23">
        <f ca="1">spr</f>
        <v>0.45000000000005042</v>
      </c>
      <c r="J7" t="s">
        <v>7</v>
      </c>
      <c r="K7" s="1">
        <f>1</f>
        <v>1</v>
      </c>
      <c r="L7" s="1">
        <f ca="1">K7*EXP(-K8)</f>
        <v>0.86056856653264124</v>
      </c>
      <c r="M7" s="1">
        <f t="shared" ref="M7:AH7" ca="1" si="4">L7*EXP(-L8)</f>
        <v>0.73915574792873107</v>
      </c>
      <c r="N7" s="1">
        <f t="shared" ca="1" si="4"/>
        <v>0.62717265313041615</v>
      </c>
      <c r="O7" s="1">
        <f t="shared" ca="1" si="4"/>
        <v>0.52755540097990183</v>
      </c>
      <c r="P7" s="1">
        <f t="shared" ca="1" si="4"/>
        <v>0.44408403550607806</v>
      </c>
      <c r="Q7" s="1">
        <f t="shared" ca="1" si="4"/>
        <v>0.37441110056623667</v>
      </c>
      <c r="R7" s="1">
        <f t="shared" ca="1" si="4"/>
        <v>0.31607679451217158</v>
      </c>
      <c r="S7" s="1">
        <f t="shared" ca="1" si="4"/>
        <v>0.26688443640148818</v>
      </c>
      <c r="T7" s="1">
        <f t="shared" ca="1" si="4"/>
        <v>0.22395378659828791</v>
      </c>
      <c r="U7" s="1">
        <f t="shared" ca="1" si="4"/>
        <v>0.18568803308230969</v>
      </c>
      <c r="V7" s="1">
        <f t="shared" ca="1" si="4"/>
        <v>0.15258334685212924</v>
      </c>
      <c r="W7" s="1">
        <f t="shared" ca="1" si="4"/>
        <v>0.12377256806695208</v>
      </c>
      <c r="X7" s="1">
        <f t="shared" ca="1" si="4"/>
        <v>9.8710469738848006E-2</v>
      </c>
      <c r="Y7" s="1">
        <f t="shared" ca="1" si="4"/>
        <v>7.7602098398936808E-2</v>
      </c>
      <c r="Z7" s="1">
        <f t="shared" ca="1" si="4"/>
        <v>6.053177867461601E-2</v>
      </c>
      <c r="AA7" s="1">
        <f t="shared" ca="1" si="4"/>
        <v>4.699054486854401E-2</v>
      </c>
      <c r="AB7" s="1">
        <f t="shared" ca="1" si="4"/>
        <v>3.6404383212083349E-2</v>
      </c>
      <c r="AC7" s="1">
        <f t="shared" ca="1" si="4"/>
        <v>2.8179970521018945E-2</v>
      </c>
      <c r="AD7" s="1">
        <f t="shared" ca="1" si="4"/>
        <v>2.1806542596082633E-2</v>
      </c>
      <c r="AE7" s="1">
        <f t="shared" ca="1" si="4"/>
        <v>1.687245280721238E-2</v>
      </c>
      <c r="AF7" s="1">
        <f t="shared" ca="1" si="4"/>
        <v>1.3054144387599585E-2</v>
      </c>
      <c r="AG7" s="1">
        <f t="shared" ca="1" si="4"/>
        <v>1.0099748023874798E-2</v>
      </c>
      <c r="AH7" s="1">
        <f t="shared" ca="1" si="4"/>
        <v>7.8139339479690404E-3</v>
      </c>
      <c r="AI7" s="1">
        <f ca="1">AH7*EXP(-AH8)/(1-EXP(-AI8))</f>
        <v>2.6711234598004552E-2</v>
      </c>
    </row>
    <row r="8" spans="1:35">
      <c r="A8" s="5"/>
      <c r="B8" s="26"/>
      <c r="C8" s="26"/>
      <c r="E8" t="s">
        <v>111</v>
      </c>
      <c r="F8">
        <f ca="1">SUMXMY2(E4:E6,F4:F6)</f>
        <v>916305.70043694158</v>
      </c>
      <c r="J8" t="s">
        <v>11</v>
      </c>
      <c r="K8" s="1">
        <f ca="1">M+f1_*flt1_ +f2_*flt2_ +f3_*flt3_</f>
        <v>0.15016198430553385</v>
      </c>
      <c r="L8" s="1">
        <f t="shared" ref="L8:AI8" ca="1" si="5">M+f1_*flt1_ +f2_*flt2_ +f3_*flt3_</f>
        <v>0.15208464095612673</v>
      </c>
      <c r="M8" s="1">
        <f t="shared" ca="1" si="5"/>
        <v>0.16428678714885697</v>
      </c>
      <c r="N8" s="1">
        <f t="shared" ca="1" si="5"/>
        <v>0.17296798118187914</v>
      </c>
      <c r="O8" s="1">
        <f t="shared" ca="1" si="5"/>
        <v>0.17224007170882952</v>
      </c>
      <c r="P8" s="1">
        <f t="shared" ca="1" si="5"/>
        <v>0.17065942056871355</v>
      </c>
      <c r="Q8" s="1">
        <f t="shared" ca="1" si="5"/>
        <v>0.16936918844187193</v>
      </c>
      <c r="R8" s="1">
        <f t="shared" ca="1" si="5"/>
        <v>0.16916946243109227</v>
      </c>
      <c r="S8" s="1">
        <f t="shared" ca="1" si="5"/>
        <v>0.17537602149806544</v>
      </c>
      <c r="T8" s="1">
        <f t="shared" ca="1" si="5"/>
        <v>0.18737169666519021</v>
      </c>
      <c r="U8" s="1">
        <f t="shared" ca="1" si="5"/>
        <v>0.19635704059004389</v>
      </c>
      <c r="V8" s="1">
        <f t="shared" ca="1" si="5"/>
        <v>0.20926523044640116</v>
      </c>
      <c r="W8" s="1">
        <f t="shared" ca="1" si="5"/>
        <v>0.22625473584435912</v>
      </c>
      <c r="X8" s="1">
        <f t="shared" ca="1" si="5"/>
        <v>0.24059654914819489</v>
      </c>
      <c r="Y8" s="1">
        <f t="shared" ca="1" si="5"/>
        <v>0.24842597356576235</v>
      </c>
      <c r="Z8" s="1">
        <f t="shared" ca="1" si="5"/>
        <v>0.25322208601886337</v>
      </c>
      <c r="AA8" s="1">
        <f t="shared" ca="1" si="5"/>
        <v>0.25525722315493493</v>
      </c>
      <c r="AB8" s="1">
        <f t="shared" ca="1" si="5"/>
        <v>0.25607772493328068</v>
      </c>
      <c r="AC8" s="1">
        <f t="shared" ca="1" si="5"/>
        <v>0.25640141651945864</v>
      </c>
      <c r="AD8" s="1">
        <f t="shared" ca="1" si="5"/>
        <v>0.25652776324717624</v>
      </c>
      <c r="AE8" s="1">
        <f t="shared" ca="1" si="5"/>
        <v>0.25657661966205197</v>
      </c>
      <c r="AF8" s="1">
        <f t="shared" ca="1" si="5"/>
        <v>0.25659518554065436</v>
      </c>
      <c r="AG8" s="1">
        <f t="shared" ca="1" si="5"/>
        <v>0.25660193184462377</v>
      </c>
      <c r="AH8" s="1">
        <f t="shared" ca="1" si="5"/>
        <v>0.25660406922120782</v>
      </c>
      <c r="AI8" s="1">
        <f t="shared" ca="1" si="5"/>
        <v>0.25660440986539673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0.86056856653264124</v>
      </c>
      <c r="L10" s="1">
        <f t="shared" ca="1" si="6"/>
        <v>0.85891557822858844</v>
      </c>
      <c r="M10" s="1">
        <f t="shared" ca="1" si="6"/>
        <v>0.84849864847548706</v>
      </c>
      <c r="N10" s="1">
        <f t="shared" ca="1" si="6"/>
        <v>0.84116454750810121</v>
      </c>
      <c r="O10" s="1">
        <f t="shared" ca="1" si="6"/>
        <v>0.84177706205114988</v>
      </c>
      <c r="P10" s="1">
        <f t="shared" ca="1" si="6"/>
        <v>0.84310867005060852</v>
      </c>
      <c r="Q10" s="1">
        <f t="shared" ca="1" si="6"/>
        <v>0.84419717800609062</v>
      </c>
      <c r="R10" s="1">
        <f t="shared" ca="1" si="6"/>
        <v>0.84436580297960129</v>
      </c>
      <c r="S10" s="1">
        <f t="shared" ca="1" si="6"/>
        <v>0.83914142622158205</v>
      </c>
      <c r="T10" s="1">
        <f t="shared" ca="1" si="6"/>
        <v>0.82913549220484239</v>
      </c>
      <c r="U10" s="1">
        <f t="shared" ca="1" si="6"/>
        <v>0.8217187953328895</v>
      </c>
      <c r="V10" s="1">
        <f t="shared" ca="1" si="6"/>
        <v>0.8111800574600182</v>
      </c>
      <c r="W10" s="1">
        <f t="shared" ca="1" si="6"/>
        <v>0.79751492015139192</v>
      </c>
      <c r="X10" s="1">
        <f t="shared" ca="1" si="6"/>
        <v>0.78615873882723619</v>
      </c>
      <c r="Y10" s="1">
        <f t="shared" ca="1" si="6"/>
        <v>0.78002760135987936</v>
      </c>
      <c r="Z10" s="1">
        <f t="shared" ca="1" si="6"/>
        <v>0.77629545831022284</v>
      </c>
      <c r="AA10" s="1">
        <f t="shared" ca="1" si="6"/>
        <v>0.77471719712815768</v>
      </c>
      <c r="AB10" s="1">
        <f t="shared" ca="1" si="6"/>
        <v>0.77408180099767343</v>
      </c>
      <c r="AC10" s="1">
        <f t="shared" ca="1" si="6"/>
        <v>0.77383127777999328</v>
      </c>
      <c r="AD10" s="1">
        <f t="shared" ca="1" si="6"/>
        <v>0.77373351290650616</v>
      </c>
      <c r="AE10" s="1">
        <f t="shared" ca="1" si="6"/>
        <v>0.77369571198441267</v>
      </c>
      <c r="AF10" s="1">
        <f t="shared" ca="1" si="6"/>
        <v>0.7736813477770913</v>
      </c>
      <c r="AG10" s="1">
        <f t="shared" ca="1" si="6"/>
        <v>0.77367612830514976</v>
      </c>
      <c r="AH10" s="1">
        <f t="shared" ca="1" si="6"/>
        <v>0.77367447466967676</v>
      </c>
      <c r="AI10" s="1">
        <f t="shared" ca="1" si="6"/>
        <v>0.77367421112200774</v>
      </c>
    </row>
    <row r="11" spans="1:35">
      <c r="A11" s="5">
        <v>1</v>
      </c>
      <c r="B11" s="25">
        <v>0.33281383386907948</v>
      </c>
      <c r="C11" s="18">
        <f ca="1">mpr1_/SUM(mpr1_,mpr2_,mpr3_)</f>
        <v>0.33281383386907948</v>
      </c>
      <c r="J11" t="s">
        <v>56</v>
      </c>
      <c r="K11" s="1">
        <f ca="1">1-sa</f>
        <v>0.13943143346735876</v>
      </c>
      <c r="L11" s="1">
        <f t="shared" ref="L11:AI11" ca="1" si="7">1-sa</f>
        <v>0.14108442177141156</v>
      </c>
      <c r="M11" s="1">
        <f t="shared" ca="1" si="7"/>
        <v>0.15150135152451294</v>
      </c>
      <c r="N11" s="1">
        <f t="shared" ca="1" si="7"/>
        <v>0.15883545249189879</v>
      </c>
      <c r="O11" s="1">
        <f t="shared" ca="1" si="7"/>
        <v>0.15822293794885012</v>
      </c>
      <c r="P11" s="1">
        <f t="shared" ca="1" si="7"/>
        <v>0.15689132994939148</v>
      </c>
      <c r="Q11" s="1">
        <f t="shared" ca="1" si="7"/>
        <v>0.15580282199390938</v>
      </c>
      <c r="R11" s="1">
        <f t="shared" ca="1" si="7"/>
        <v>0.15563419702039871</v>
      </c>
      <c r="S11" s="1">
        <f t="shared" ca="1" si="7"/>
        <v>0.16085857377841795</v>
      </c>
      <c r="T11" s="1">
        <f t="shared" ca="1" si="7"/>
        <v>0.17086450779515761</v>
      </c>
      <c r="U11" s="1">
        <f t="shared" ca="1" si="7"/>
        <v>0.1782812046671105</v>
      </c>
      <c r="V11" s="1">
        <f t="shared" ca="1" si="7"/>
        <v>0.1888199425399818</v>
      </c>
      <c r="W11" s="1">
        <f t="shared" ca="1" si="7"/>
        <v>0.20248507984860808</v>
      </c>
      <c r="X11" s="1">
        <f t="shared" ca="1" si="7"/>
        <v>0.21384126117276381</v>
      </c>
      <c r="Y11" s="1">
        <f t="shared" ca="1" si="7"/>
        <v>0.21997239864012064</v>
      </c>
      <c r="Z11" s="1">
        <f t="shared" ca="1" si="7"/>
        <v>0.22370454168977716</v>
      </c>
      <c r="AA11" s="1">
        <f t="shared" ca="1" si="7"/>
        <v>0.22528280287184232</v>
      </c>
      <c r="AB11" s="1">
        <f t="shared" ca="1" si="7"/>
        <v>0.22591819900232657</v>
      </c>
      <c r="AC11" s="1">
        <f t="shared" ca="1" si="7"/>
        <v>0.22616872222000672</v>
      </c>
      <c r="AD11" s="1">
        <f t="shared" ca="1" si="7"/>
        <v>0.22626648709349384</v>
      </c>
      <c r="AE11" s="1">
        <f t="shared" ca="1" si="7"/>
        <v>0.22630428801558733</v>
      </c>
      <c r="AF11" s="1">
        <f t="shared" ca="1" si="7"/>
        <v>0.2263186522229087</v>
      </c>
      <c r="AG11" s="1">
        <f t="shared" ca="1" si="7"/>
        <v>0.22632387169485024</v>
      </c>
      <c r="AH11" s="1">
        <f t="shared" ca="1" si="7"/>
        <v>0.22632552533032324</v>
      </c>
      <c r="AI11" s="1">
        <f t="shared" ca="1" si="7"/>
        <v>0.22632578887799226</v>
      </c>
    </row>
    <row r="12" spans="1:35">
      <c r="A12" s="5">
        <v>2</v>
      </c>
      <c r="B12" s="25">
        <v>0.52899969970753113</v>
      </c>
      <c r="C12" s="18">
        <f ca="1">mpr2_/SUM(mpr1_,mpr2_,mpr3_)</f>
        <v>0.52899969970753113</v>
      </c>
      <c r="J12" t="s">
        <v>100</v>
      </c>
      <c r="K12">
        <f>1/(1+EXP(($E18-len)/2.5))</f>
        <v>7.5868137214273986E-12</v>
      </c>
      <c r="L12">
        <f t="shared" ref="L12:AI12" si="8">1/(1+EXP(($E18-len)/2.5))</f>
        <v>4.4074121343912161E-10</v>
      </c>
      <c r="M12">
        <f t="shared" si="8"/>
        <v>1.877002738565296E-8</v>
      </c>
      <c r="N12">
        <f t="shared" si="8"/>
        <v>6.0008089846360986E-7</v>
      </c>
      <c r="O12">
        <f t="shared" si="8"/>
        <v>1.472081265802922E-5</v>
      </c>
      <c r="P12">
        <f t="shared" si="8"/>
        <v>2.8269487723661966E-4</v>
      </c>
      <c r="Q12">
        <f t="shared" si="8"/>
        <v>4.3147859074038758E-3</v>
      </c>
      <c r="R12">
        <f>1/(1+EXP(($E18-len)/2.5))</f>
        <v>5.1147581264469943E-2</v>
      </c>
      <c r="S12">
        <f t="shared" si="8"/>
        <v>0.35608974129798304</v>
      </c>
      <c r="T12">
        <f t="shared" si="8"/>
        <v>0.8260416126181217</v>
      </c>
      <c r="U12">
        <f t="shared" si="8"/>
        <v>0.97190539921530195</v>
      </c>
      <c r="V12">
        <f t="shared" si="8"/>
        <v>0.99540299220345929</v>
      </c>
      <c r="W12">
        <f t="shared" si="8"/>
        <v>0.9991518583274106</v>
      </c>
      <c r="X12">
        <f t="shared" si="8"/>
        <v>0.99982243806052584</v>
      </c>
      <c r="Y12">
        <f t="shared" si="8"/>
        <v>0.99995812735063538</v>
      </c>
      <c r="Z12">
        <f t="shared" si="8"/>
        <v>0.9999889737575447</v>
      </c>
      <c r="AA12">
        <f t="shared" si="8"/>
        <v>0.99999678478020437</v>
      </c>
      <c r="AB12">
        <f t="shared" si="8"/>
        <v>0.99999896984738978</v>
      </c>
      <c r="AC12">
        <f t="shared" si="8"/>
        <v>0.99999963993989649</v>
      </c>
      <c r="AD12">
        <f t="shared" si="8"/>
        <v>0.99999986362227844</v>
      </c>
      <c r="AE12">
        <f t="shared" si="8"/>
        <v>0.99999994436607142</v>
      </c>
      <c r="AF12">
        <f t="shared" si="8"/>
        <v>0.9999999756947241</v>
      </c>
      <c r="AG12">
        <f t="shared" si="8"/>
        <v>0.99999998868770212</v>
      </c>
      <c r="AH12">
        <f t="shared" si="8"/>
        <v>0.9999999944180058</v>
      </c>
      <c r="AI12">
        <f t="shared" si="8"/>
        <v>0.9999999970927953</v>
      </c>
    </row>
    <row r="13" spans="1:35">
      <c r="A13" s="5">
        <v>3</v>
      </c>
      <c r="B13" s="25">
        <f>1-SUM(B11:B12)</f>
        <v>0.13818646642338939</v>
      </c>
      <c r="C13" s="18">
        <f ca="1">mpr3_/SUM(mpr1_,mpr2_,mpr3_)</f>
        <v>0.13818646642338955</v>
      </c>
      <c r="J13" t="s">
        <v>101</v>
      </c>
      <c r="K13">
        <f>1/(1+EXP(($E19-len)/2.5))</f>
        <v>2.4063559845400237E-32</v>
      </c>
      <c r="L13">
        <f t="shared" ref="L13:Q14" si="9">1/(1+EXP(($E19-len)/2.5))</f>
        <v>1.3979257907132604E-30</v>
      </c>
      <c r="M13">
        <f t="shared" si="9"/>
        <v>5.9534041872321085E-29</v>
      </c>
      <c r="N13">
        <f t="shared" si="9"/>
        <v>1.9033143303085082E-27</v>
      </c>
      <c r="O13">
        <f t="shared" si="9"/>
        <v>4.6691586755633756E-26</v>
      </c>
      <c r="P13">
        <f t="shared" si="9"/>
        <v>8.9689413275282243E-25</v>
      </c>
      <c r="Q13">
        <f t="shared" si="9"/>
        <v>1.3744775410250773E-23</v>
      </c>
      <c r="R13">
        <f>1/(1+EXP(($E19-len)/2.5))</f>
        <v>1.7097274569673934E-22</v>
      </c>
      <c r="S13">
        <f t="shared" ref="S13:AI13" si="10">1/(1+EXP(($E19-len)/2.5))</f>
        <v>1.7540201250810639E-21</v>
      </c>
      <c r="T13">
        <f t="shared" si="10"/>
        <v>1.5061110920673159E-20</v>
      </c>
      <c r="U13">
        <f t="shared" si="10"/>
        <v>1.0972398791551728E-19</v>
      </c>
      <c r="V13">
        <f t="shared" si="10"/>
        <v>6.8679030483829601E-19</v>
      </c>
      <c r="W13">
        <f t="shared" si="10"/>
        <v>3.7364876596689047E-18</v>
      </c>
      <c r="X13">
        <f t="shared" si="10"/>
        <v>1.7859670948159215E-17</v>
      </c>
      <c r="Y13">
        <f t="shared" si="10"/>
        <v>7.5744626481580563E-17</v>
      </c>
      <c r="Z13">
        <f t="shared" si="10"/>
        <v>2.8765248326383814E-16</v>
      </c>
      <c r="AA13">
        <f t="shared" si="10"/>
        <v>9.8648024079030685E-16</v>
      </c>
      <c r="AB13">
        <f t="shared" si="10"/>
        <v>3.0789202461172411E-15</v>
      </c>
      <c r="AC13">
        <f t="shared" si="10"/>
        <v>8.8089733444248828E-15</v>
      </c>
      <c r="AD13">
        <f t="shared" si="10"/>
        <v>2.3257175194694378E-14</v>
      </c>
      <c r="AE13">
        <f t="shared" si="10"/>
        <v>5.7011268141616499E-14</v>
      </c>
      <c r="AF13">
        <f t="shared" si="10"/>
        <v>1.3049680782937577E-13</v>
      </c>
      <c r="AG13">
        <f t="shared" si="10"/>
        <v>2.8038166768525519E-13</v>
      </c>
      <c r="AH13">
        <f t="shared" si="10"/>
        <v>5.6821287607502026E-13</v>
      </c>
      <c r="AI13">
        <f t="shared" si="10"/>
        <v>1.091000226273098E-12</v>
      </c>
    </row>
    <row r="14" spans="1:35">
      <c r="A14" s="27" t="s">
        <v>49</v>
      </c>
      <c r="B14" s="30"/>
      <c r="C14" s="29">
        <f ca="1">spr</f>
        <v>0.45000000000005042</v>
      </c>
      <c r="J14" t="s">
        <v>102</v>
      </c>
      <c r="K14">
        <f>1/(1+EXP(($E20-len)/2.5))</f>
        <v>7.5868137214273986E-12</v>
      </c>
      <c r="L14">
        <f t="shared" si="9"/>
        <v>4.4074121343912161E-10</v>
      </c>
      <c r="M14">
        <f t="shared" si="9"/>
        <v>1.877002738565296E-8</v>
      </c>
      <c r="N14">
        <f t="shared" si="9"/>
        <v>6.0008089846360986E-7</v>
      </c>
      <c r="O14">
        <f t="shared" si="9"/>
        <v>1.472081265802922E-5</v>
      </c>
      <c r="P14">
        <f t="shared" si="9"/>
        <v>2.8269487723661966E-4</v>
      </c>
      <c r="Q14">
        <f t="shared" si="9"/>
        <v>4.3147859074038758E-3</v>
      </c>
      <c r="R14">
        <f>1/(1+EXP(($E20-len)/2.5))</f>
        <v>5.1147581264469943E-2</v>
      </c>
      <c r="S14">
        <f t="shared" ref="S14:AI14" si="11">1/(1+EXP(($E20-len)/2.5))</f>
        <v>0.35608974129798304</v>
      </c>
      <c r="T14">
        <f t="shared" si="11"/>
        <v>0.8260416126181217</v>
      </c>
      <c r="U14">
        <f t="shared" si="11"/>
        <v>0.97190539921530195</v>
      </c>
      <c r="V14">
        <f t="shared" si="11"/>
        <v>0.99540299220345929</v>
      </c>
      <c r="W14">
        <f t="shared" si="11"/>
        <v>0.9991518583274106</v>
      </c>
      <c r="X14">
        <f t="shared" si="11"/>
        <v>0.99982243806052584</v>
      </c>
      <c r="Y14">
        <f t="shared" si="11"/>
        <v>0.99995812735063538</v>
      </c>
      <c r="Z14">
        <f t="shared" si="11"/>
        <v>0.9999889737575447</v>
      </c>
      <c r="AA14">
        <f t="shared" si="11"/>
        <v>0.99999678478020437</v>
      </c>
      <c r="AB14">
        <f t="shared" si="11"/>
        <v>0.99999896984738978</v>
      </c>
      <c r="AC14">
        <f t="shared" si="11"/>
        <v>0.99999963993989649</v>
      </c>
      <c r="AD14">
        <f t="shared" si="11"/>
        <v>0.99999986362227844</v>
      </c>
      <c r="AE14">
        <f t="shared" si="11"/>
        <v>0.99999994436607142</v>
      </c>
      <c r="AF14">
        <f t="shared" si="11"/>
        <v>0.9999999756947241</v>
      </c>
      <c r="AG14">
        <f t="shared" si="11"/>
        <v>0.99999998868770212</v>
      </c>
      <c r="AH14">
        <f t="shared" si="11"/>
        <v>0.9999999944180058</v>
      </c>
      <c r="AI14">
        <f t="shared" si="11"/>
        <v>0.9999999970927953</v>
      </c>
    </row>
    <row r="15" spans="1:35">
      <c r="A15" s="5"/>
      <c r="B15" s="26" t="s">
        <v>50</v>
      </c>
      <c r="C15" s="26">
        <f ca="1">CHOOSE(C25,SUMXMY2(B14,C14),SUMXMY2(B7,C7))</f>
        <v>2.5405758490708448E-27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7">
        <v>1000000</v>
      </c>
      <c r="E18">
        <v>82</v>
      </c>
      <c r="F18" s="31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103</v>
      </c>
      <c r="K18" s="4">
        <f>((EXP(g*(ah-age)/gh)/(1+EXP((ah-age)/gh))) *(1/(1-g))*((1-g)/g)^g) *(sr+(1-sr)*dmr)</f>
        <v>2.8003936236431226E-6</v>
      </c>
      <c r="L18" s="4">
        <f t="shared" ref="K18:O20" si="12">((EXP(g*(ah-age)/gh)/(1+EXP((ah-age)/gh))) *(1/(1-g))*((1-g)/g)^g) *(sr+(1-sr)*dmr)</f>
        <v>7.1844379689859784E-6</v>
      </c>
      <c r="M18" s="4">
        <f t="shared" si="12"/>
        <v>1.8430959047846558E-5</v>
      </c>
      <c r="N18" s="4">
        <f t="shared" si="12"/>
        <v>4.7277725591794386E-5</v>
      </c>
      <c r="O18" s="4">
        <f t="shared" si="12"/>
        <v>1.2124771542352999E-4</v>
      </c>
      <c r="P18" s="4">
        <f t="shared" ref="P18:AI18" si="13">((EXP(g*(ah-age)/gh)/(1+EXP((ah-age)/gh))) *(1/(1-g))*((1-g)/g)^g) *(sr_1+(1-sr_1)*dmr)</f>
        <v>3.1113931542114324E-4</v>
      </c>
      <c r="Q18" s="4">
        <f t="shared" si="13"/>
        <v>8.1265566010240158E-4</v>
      </c>
      <c r="R18" s="4">
        <f t="shared" si="13"/>
        <v>2.5662544590722902E-3</v>
      </c>
      <c r="S18" s="4">
        <f t="shared" si="13"/>
        <v>1.4604162094887159E-2</v>
      </c>
      <c r="T18" s="4">
        <f t="shared" si="13"/>
        <v>6.6379056385378596E-2</v>
      </c>
      <c r="U18" s="4">
        <f t="shared" si="13"/>
        <v>0.17361120564702145</v>
      </c>
      <c r="V18" s="4">
        <f t="shared" si="13"/>
        <v>0.35547565647348228</v>
      </c>
      <c r="W18" s="4">
        <f t="shared" si="13"/>
        <v>0.58698441349399233</v>
      </c>
      <c r="X18" s="4">
        <f t="shared" si="13"/>
        <v>0.78498702991552116</v>
      </c>
      <c r="Y18" s="4">
        <f t="shared" si="13"/>
        <v>0.90361394360590996</v>
      </c>
      <c r="Z18" s="4">
        <f t="shared" si="13"/>
        <v>0.96013792666862108</v>
      </c>
      <c r="AA18" s="4">
        <f t="shared" si="13"/>
        <v>0.98412278067996206</v>
      </c>
      <c r="AB18" s="4">
        <f t="shared" si="13"/>
        <v>0.99379270169946476</v>
      </c>
      <c r="AC18" s="4">
        <f t="shared" si="13"/>
        <v>0.99760752837702404</v>
      </c>
      <c r="AD18" s="4">
        <f t="shared" si="13"/>
        <v>0.99909657192372447</v>
      </c>
      <c r="AE18" s="4">
        <f t="shared" si="13"/>
        <v>0.99967236308665985</v>
      </c>
      <c r="AF18" s="4">
        <f t="shared" si="13"/>
        <v>0.99989116892533159</v>
      </c>
      <c r="AG18" s="4">
        <f t="shared" si="13"/>
        <v>0.99997067664643569</v>
      </c>
      <c r="AH18" s="4">
        <f t="shared" si="13"/>
        <v>0.99999586643066563</v>
      </c>
      <c r="AI18" s="4">
        <f t="shared" si="13"/>
        <v>0.99999988105012072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104</v>
      </c>
      <c r="K19" s="4">
        <f>((EXP(g*(ah-age)/gh)/(1+EXP((ah-age)/gh))) *(1/(1-g))*((1-g)/g)^g) *(sr+(1-sr)*dmr)</f>
        <v>5.5928315404085004E-3</v>
      </c>
      <c r="L19" s="4">
        <f t="shared" si="12"/>
        <v>7.2222309621764999E-2</v>
      </c>
      <c r="M19" s="4">
        <f t="shared" si="12"/>
        <v>0.49525952476250756</v>
      </c>
      <c r="N19" s="4">
        <f t="shared" si="12"/>
        <v>0.79571701212041002</v>
      </c>
      <c r="O19" s="4">
        <f t="shared" si="12"/>
        <v>0.76834970016263238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0.46022259425027418</v>
      </c>
      <c r="V19" s="4">
        <f t="shared" si="14"/>
        <v>0.42227975176266147</v>
      </c>
      <c r="W19" s="4">
        <f t="shared" si="14"/>
        <v>0.38746508956210657</v>
      </c>
      <c r="X19" s="4">
        <f t="shared" si="14"/>
        <v>0.35552070635632599</v>
      </c>
      <c r="Y19" s="4">
        <f t="shared" si="14"/>
        <v>0.32620996330480656</v>
      </c>
      <c r="Z19" s="4">
        <f>Y19</f>
        <v>0.32620996330480656</v>
      </c>
      <c r="AA19" s="4">
        <f t="shared" ref="AA19:AI19" si="15">Z19</f>
        <v>0.32620996330480656</v>
      </c>
      <c r="AB19" s="4">
        <f t="shared" si="15"/>
        <v>0.32620996330480656</v>
      </c>
      <c r="AC19" s="4">
        <f t="shared" si="15"/>
        <v>0.32620996330480656</v>
      </c>
      <c r="AD19" s="4">
        <f t="shared" si="15"/>
        <v>0.32620996330480656</v>
      </c>
      <c r="AE19" s="4">
        <f t="shared" si="15"/>
        <v>0.32620996330480656</v>
      </c>
      <c r="AF19" s="4">
        <f t="shared" si="15"/>
        <v>0.32620996330480656</v>
      </c>
      <c r="AG19" s="4">
        <f t="shared" si="15"/>
        <v>0.32620996330480656</v>
      </c>
      <c r="AH19" s="4">
        <f t="shared" si="15"/>
        <v>0.32620996330480656</v>
      </c>
      <c r="AI19" s="4">
        <f t="shared" si="15"/>
        <v>0.32620996330480656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105</v>
      </c>
      <c r="K20" s="4">
        <f t="shared" si="12"/>
        <v>2.2510614334532396E-5</v>
      </c>
      <c r="L20" s="4">
        <f t="shared" si="12"/>
        <v>8.0630270614046138E-5</v>
      </c>
      <c r="M20" s="4">
        <f t="shared" si="12"/>
        <v>2.8814282652586909E-4</v>
      </c>
      <c r="N20" s="4">
        <f t="shared" si="12"/>
        <v>1.0203941075038038E-3</v>
      </c>
      <c r="O20" s="4">
        <f t="shared" si="12"/>
        <v>3.4904925203404404E-3</v>
      </c>
      <c r="P20" s="4">
        <f t="shared" ref="P20:Y20" si="16">((EXP(g*(ah-age)/gh)/(1+EXP((ah-age)/gh))) *(1/(1-g))*((1-g)/g)^g) *(sr_3+(1-sr_3)*dmr)</f>
        <v>1.0646686019346844E-2</v>
      </c>
      <c r="Q20" s="4">
        <f t="shared" si="16"/>
        <v>2.6162790005142954E-2</v>
      </c>
      <c r="R20" s="4">
        <f t="shared" si="16"/>
        <v>7.9965582188479212E-2</v>
      </c>
      <c r="S20" s="4">
        <f t="shared" si="16"/>
        <v>0.37729126950108482</v>
      </c>
      <c r="T20" s="4">
        <f t="shared" si="16"/>
        <v>0.77824132997239281</v>
      </c>
      <c r="U20" s="4">
        <f t="shared" si="16"/>
        <v>0.82683249919803958</v>
      </c>
      <c r="V20" s="4">
        <f t="shared" si="16"/>
        <v>0.76245762138208428</v>
      </c>
      <c r="W20" s="4">
        <f t="shared" si="16"/>
        <v>0.688117919948251</v>
      </c>
      <c r="X20" s="4">
        <f t="shared" si="16"/>
        <v>0.61884903682764836</v>
      </c>
      <c r="Y20" s="4">
        <f t="shared" si="16"/>
        <v>0.5561914082201378</v>
      </c>
      <c r="Z20" s="4">
        <f>Y20</f>
        <v>0.5561914082201378</v>
      </c>
      <c r="AA20" s="4">
        <f t="shared" ref="AA20:AI20" si="17">Z20</f>
        <v>0.5561914082201378</v>
      </c>
      <c r="AB20" s="4">
        <f t="shared" si="17"/>
        <v>0.5561914082201378</v>
      </c>
      <c r="AC20" s="4">
        <f t="shared" si="17"/>
        <v>0.5561914082201378</v>
      </c>
      <c r="AD20" s="4">
        <f t="shared" si="17"/>
        <v>0.5561914082201378</v>
      </c>
      <c r="AE20" s="4">
        <f t="shared" si="17"/>
        <v>0.5561914082201378</v>
      </c>
      <c r="AF20" s="4">
        <f t="shared" si="17"/>
        <v>0.5561914082201378</v>
      </c>
      <c r="AG20" s="4">
        <f t="shared" si="17"/>
        <v>0.5561914082201378</v>
      </c>
      <c r="AH20" s="4">
        <f t="shared" si="17"/>
        <v>0.5561914082201378</v>
      </c>
      <c r="AI20" s="4">
        <f t="shared" si="17"/>
        <v>0.5561914082201378</v>
      </c>
    </row>
    <row r="21" spans="1:39">
      <c r="A21" t="s">
        <v>42</v>
      </c>
      <c r="B21" s="1">
        <f>Bo/phie</f>
        <v>23275.156653616632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SAA!linf</f>
        <v>150.8458480206651</v>
      </c>
      <c r="J22" s="8" t="s">
        <v>23</v>
      </c>
      <c r="K22" s="1">
        <f ca="1">wa*flt1_*(1-EXP(-za))/za</f>
        <v>2.0955965137557079E-7</v>
      </c>
      <c r="L22" s="1">
        <f t="shared" ref="K22:AI22" ca="1" si="18">wa*flt1_*(1-EXP(-za))/za</f>
        <v>2.2902466713656943E-6</v>
      </c>
      <c r="M22" s="1">
        <f t="shared" ca="1" si="18"/>
        <v>1.4831080744290342E-5</v>
      </c>
      <c r="N22" s="1">
        <f t="shared" ca="1" si="18"/>
        <v>7.425268766530135E-5</v>
      </c>
      <c r="O22" s="1">
        <f t="shared" ca="1" si="18"/>
        <v>3.1964503046812555E-4</v>
      </c>
      <c r="P22" s="1">
        <f t="shared" ca="1" si="18"/>
        <v>1.2420837272191876E-3</v>
      </c>
      <c r="Q22" s="1">
        <f t="shared" ca="1" si="18"/>
        <v>4.563144162176889E-3</v>
      </c>
      <c r="R22" s="1">
        <f t="shared" ca="1" si="18"/>
        <v>1.9174422043717578E-2</v>
      </c>
      <c r="S22" s="1">
        <f t="shared" ca="1" si="18"/>
        <v>0.1387293940389856</v>
      </c>
      <c r="T22" s="1">
        <f t="shared" ca="1" si="18"/>
        <v>0.77291899707376699</v>
      </c>
      <c r="U22" s="1">
        <f t="shared" ca="1" si="18"/>
        <v>2.4146724907497004</v>
      </c>
      <c r="V22" s="1">
        <f t="shared" ca="1" si="18"/>
        <v>5.763118482987708</v>
      </c>
      <c r="W22" s="1">
        <f t="shared" ca="1" si="18"/>
        <v>10.864366775023331</v>
      </c>
      <c r="X22" s="1">
        <f t="shared" ca="1" si="18"/>
        <v>16.345602203818864</v>
      </c>
      <c r="Y22" s="1">
        <f t="shared" ca="1" si="18"/>
        <v>20.946850859229468</v>
      </c>
      <c r="Z22" s="1">
        <f t="shared" ca="1" si="18"/>
        <v>24.523994645991213</v>
      </c>
      <c r="AA22" s="1">
        <f t="shared" ca="1" si="18"/>
        <v>27.451549204229376</v>
      </c>
      <c r="AB22" s="1">
        <f t="shared" ca="1" si="18"/>
        <v>30.022616944575919</v>
      </c>
      <c r="AC22" s="1">
        <f t="shared" ca="1" si="18"/>
        <v>32.392410648013545</v>
      </c>
      <c r="AD22" s="1">
        <f t="shared" ca="1" si="18"/>
        <v>34.63007709736177</v>
      </c>
      <c r="AE22" s="1">
        <f t="shared" ca="1" si="18"/>
        <v>36.763181635425198</v>
      </c>
      <c r="AF22" s="1">
        <f t="shared" ca="1" si="18"/>
        <v>38.801406657269048</v>
      </c>
      <c r="AG22" s="1">
        <f t="shared" ca="1" si="18"/>
        <v>40.747490898685548</v>
      </c>
      <c r="AH22" s="1">
        <f t="shared" ca="1" si="18"/>
        <v>42.601941093910384</v>
      </c>
      <c r="AI22" s="1">
        <f t="shared" ca="1" si="18"/>
        <v>44.364943278716908</v>
      </c>
      <c r="AM22" s="43"/>
    </row>
    <row r="23" spans="1:39">
      <c r="A23" t="s">
        <v>80</v>
      </c>
      <c r="B23" s="31">
        <f>SAA!B3</f>
        <v>7.9515419810206461E-2</v>
      </c>
      <c r="J23" s="8" t="s">
        <v>24</v>
      </c>
      <c r="K23" s="1">
        <f t="shared" ref="K23:AI23" ca="1" si="19">wa*flt2_*(1-EXP(-za))/za</f>
        <v>4.1852395960163905E-4</v>
      </c>
      <c r="L23" s="1">
        <f t="shared" ca="1" si="19"/>
        <v>2.3022942772089324E-2</v>
      </c>
      <c r="M23" s="1">
        <f ca="1">wa*flt2_*(1-EXP(-za))/za</f>
        <v>0.39852695576304348</v>
      </c>
      <c r="N23" s="1">
        <f t="shared" ca="1" si="19"/>
        <v>1.2497243898974357</v>
      </c>
      <c r="O23" s="1">
        <f t="shared" ca="1" si="19"/>
        <v>2.0255982758995348</v>
      </c>
      <c r="P23" s="1">
        <f t="shared" ca="1" si="19"/>
        <v>2.8241971518021378</v>
      </c>
      <c r="Q23" s="1">
        <f t="shared" ca="1" si="19"/>
        <v>3.6457691552763327</v>
      </c>
      <c r="R23" s="1">
        <f t="shared" ca="1" si="19"/>
        <v>4.4513635652083998</v>
      </c>
      <c r="S23" s="1">
        <f t="shared" ca="1" si="19"/>
        <v>5.19272241401434</v>
      </c>
      <c r="T23" s="1">
        <f t="shared" ca="1" si="19"/>
        <v>5.8403452397301887</v>
      </c>
      <c r="U23" s="1">
        <f t="shared" ca="1" si="19"/>
        <v>6.4010087011147023</v>
      </c>
      <c r="V23" s="1">
        <f t="shared" ca="1" si="19"/>
        <v>6.8461741276969832</v>
      </c>
      <c r="W23" s="1">
        <f t="shared" ca="1" si="19"/>
        <v>7.1715070259920521</v>
      </c>
      <c r="X23" s="1">
        <f t="shared" ca="1" si="19"/>
        <v>7.4029249145002973</v>
      </c>
      <c r="Y23" s="1">
        <f t="shared" ca="1" si="19"/>
        <v>7.5619367081398039</v>
      </c>
      <c r="Z23" s="1">
        <f t="shared" ca="1" si="19"/>
        <v>8.3321064311181523</v>
      </c>
      <c r="AA23" s="1">
        <f t="shared" ca="1" si="19"/>
        <v>9.0994427061067338</v>
      </c>
      <c r="AB23" s="1">
        <f t="shared" ca="1" si="19"/>
        <v>9.8548487577503892</v>
      </c>
      <c r="AC23" s="1">
        <f t="shared" ca="1" si="19"/>
        <v>10.592068311707106</v>
      </c>
      <c r="AD23" s="1">
        <f t="shared" ca="1" si="19"/>
        <v>11.306891142086156</v>
      </c>
      <c r="AE23" s="1">
        <f t="shared" ca="1" si="19"/>
        <v>11.996446610998667</v>
      </c>
      <c r="AF23" s="1">
        <f t="shared" ca="1" si="19"/>
        <v>12.658783110812557</v>
      </c>
      <c r="AG23" s="1">
        <f t="shared" ca="1" si="19"/>
        <v>13.292627295233128</v>
      </c>
      <c r="AH23" s="1">
        <f t="shared" ca="1" si="19"/>
        <v>13.897235086142823</v>
      </c>
      <c r="AI23" s="1">
        <f t="shared" ca="1" si="19"/>
        <v>14.472288240447005</v>
      </c>
      <c r="AM23" s="43"/>
    </row>
    <row r="24" spans="1:39">
      <c r="A24" t="s">
        <v>125</v>
      </c>
      <c r="B24" s="31">
        <f>[0]!to</f>
        <v>0.59695167544184935</v>
      </c>
      <c r="J24" s="8" t="s">
        <v>25</v>
      </c>
      <c r="K24" s="1">
        <f t="shared" ref="K24:AI24" ca="1" si="20">wa*flt3_*(1-EXP(-za))/za</f>
        <v>1.6845190805918299E-6</v>
      </c>
      <c r="L24" s="1">
        <f t="shared" ca="1" si="20"/>
        <v>2.5703222671320236E-5</v>
      </c>
      <c r="M24" s="1">
        <f t="shared" ca="1" si="20"/>
        <v>2.3186365478862663E-4</v>
      </c>
      <c r="N24" s="1">
        <f t="shared" ca="1" si="20"/>
        <v>1.6025941182996363E-3</v>
      </c>
      <c r="O24" s="1">
        <f t="shared" ca="1" si="20"/>
        <v>9.2019761701543946E-3</v>
      </c>
      <c r="P24" s="1">
        <f t="shared" ca="1" si="20"/>
        <v>4.2502103713711881E-2</v>
      </c>
      <c r="Q24" s="1">
        <f t="shared" ca="1" si="20"/>
        <v>0.14690672610732136</v>
      </c>
      <c r="R24" s="1">
        <f t="shared" ca="1" si="20"/>
        <v>0.59748315933088592</v>
      </c>
      <c r="S24" s="1">
        <f t="shared" ca="1" si="20"/>
        <v>3.5840049469465667</v>
      </c>
      <c r="T24" s="1">
        <f t="shared" ca="1" si="20"/>
        <v>9.0618568717122283</v>
      </c>
      <c r="U24" s="1">
        <f t="shared" ca="1" si="20"/>
        <v>11.500004753901569</v>
      </c>
      <c r="V24" s="1">
        <f t="shared" ca="1" si="20"/>
        <v>12.361278558071179</v>
      </c>
      <c r="W24" s="1">
        <f t="shared" ca="1" si="20"/>
        <v>12.736224838209367</v>
      </c>
      <c r="X24" s="1">
        <f t="shared" ca="1" si="20"/>
        <v>12.886149445411599</v>
      </c>
      <c r="Y24" s="1">
        <f t="shared" ca="1" si="20"/>
        <v>12.893181385272111</v>
      </c>
      <c r="Z24" s="1">
        <f t="shared" ca="1" si="20"/>
        <v>14.206328839298783</v>
      </c>
      <c r="AA24" s="1">
        <f t="shared" ca="1" si="20"/>
        <v>15.514645234790082</v>
      </c>
      <c r="AB24" s="1">
        <f t="shared" ca="1" si="20"/>
        <v>16.802620474372564</v>
      </c>
      <c r="AC24" s="1">
        <f t="shared" ca="1" si="20"/>
        <v>18.059587544686952</v>
      </c>
      <c r="AD24" s="1">
        <f t="shared" ca="1" si="20"/>
        <v>19.278367966439234</v>
      </c>
      <c r="AE24" s="1">
        <f t="shared" ca="1" si="20"/>
        <v>20.454067271926071</v>
      </c>
      <c r="AF24" s="1">
        <f t="shared" ca="1" si="20"/>
        <v>21.583357949669317</v>
      </c>
      <c r="AG24" s="1">
        <f t="shared" ca="1" si="20"/>
        <v>22.664068930883627</v>
      </c>
      <c r="AH24" s="1">
        <f t="shared" ca="1" si="20"/>
        <v>23.694931554575831</v>
      </c>
      <c r="AI24" s="1">
        <f t="shared" ca="1" si="20"/>
        <v>24.675403212932324</v>
      </c>
      <c r="AM24" s="44"/>
    </row>
    <row r="25" spans="1:39">
      <c r="A25" s="40"/>
      <c r="B25" s="40" t="s">
        <v>97</v>
      </c>
      <c r="C25" s="40">
        <v>2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F26" t="s">
        <v>141</v>
      </c>
      <c r="J26" s="8" t="s">
        <v>30</v>
      </c>
      <c r="K26">
        <f ca="1">qa1_/wa</f>
        <v>2.6002779533263147E-6</v>
      </c>
      <c r="L26">
        <f t="shared" ref="L26:AI26" ca="1" si="21">qa1_/wa</f>
        <v>6.66479054186259E-6</v>
      </c>
      <c r="M26">
        <f t="shared" ca="1" si="21"/>
        <v>1.6996590255987192E-5</v>
      </c>
      <c r="N26">
        <f t="shared" ca="1" si="21"/>
        <v>4.3414849880592803E-5</v>
      </c>
      <c r="O26">
        <f t="shared" ca="1" si="21"/>
        <v>1.1138040970122047E-4</v>
      </c>
      <c r="P26">
        <f t="shared" ca="1" si="21"/>
        <v>2.8603789250715108E-4</v>
      </c>
      <c r="Q26">
        <f t="shared" ca="1" si="21"/>
        <v>7.475624481529103E-4</v>
      </c>
      <c r="R26">
        <f t="shared" ca="1" si="21"/>
        <v>2.3609281861400946E-3</v>
      </c>
      <c r="S26">
        <f t="shared" ca="1" si="21"/>
        <v>1.3395244490925429E-2</v>
      </c>
      <c r="T26">
        <f t="shared" ca="1" si="21"/>
        <v>6.0531152778432427E-2</v>
      </c>
      <c r="U26">
        <f t="shared" ca="1" si="21"/>
        <v>0.15762925940140604</v>
      </c>
      <c r="V26">
        <f t="shared" ca="1" si="21"/>
        <v>0.32074555761845414</v>
      </c>
      <c r="W26">
        <f t="shared" ca="1" si="21"/>
        <v>0.52531756028293841</v>
      </c>
      <c r="X26">
        <f t="shared" ca="1" si="21"/>
        <v>0.69769336707320151</v>
      </c>
      <c r="Y26">
        <f t="shared" ca="1" si="21"/>
        <v>0.80011813485771877</v>
      </c>
      <c r="Z26">
        <f t="shared" ca="1" si="21"/>
        <v>0.84821675005227037</v>
      </c>
      <c r="AA26">
        <f t="shared" ca="1" si="21"/>
        <v>0.86855892131617796</v>
      </c>
      <c r="AB26">
        <f t="shared" ca="1" si="21"/>
        <v>0.87674887539748159</v>
      </c>
      <c r="AC26">
        <f t="shared" ca="1" si="21"/>
        <v>0.87997805563202669</v>
      </c>
      <c r="AD26">
        <f t="shared" ca="1" si="21"/>
        <v>0.881238228310252</v>
      </c>
      <c r="AE26">
        <f t="shared" ca="1" si="21"/>
        <v>0.88172547707255511</v>
      </c>
      <c r="AF26">
        <f t="shared" ca="1" si="21"/>
        <v>0.88191062994405345</v>
      </c>
      <c r="AG26">
        <f t="shared" ca="1" si="21"/>
        <v>0.88197790832291523</v>
      </c>
      <c r="AH26">
        <f t="shared" ca="1" si="21"/>
        <v>0.88199922349230941</v>
      </c>
      <c r="AI26">
        <f t="shared" ca="1" si="21"/>
        <v>0.88200262059131196</v>
      </c>
      <c r="AM26" s="44"/>
    </row>
    <row r="27" spans="1:39">
      <c r="A27" t="s">
        <v>14</v>
      </c>
      <c r="B27" s="28">
        <f ca="1">fbar*C27</f>
        <v>8.4850928636432704E-2</v>
      </c>
      <c r="C27" s="36">
        <f ca="1">CHOOSE(C$25,E36,E39,1)</f>
        <v>1.8733112221588482</v>
      </c>
      <c r="E27" s="42">
        <f ca="1">f1_/(F4/(f1_*365*re*phib))</f>
        <v>127.4720787886415</v>
      </c>
      <c r="F27" s="107">
        <f ca="1">F4/E27</f>
        <v>202.74101839664468</v>
      </c>
      <c r="J27" s="8" t="s">
        <v>31</v>
      </c>
      <c r="K27">
        <f t="shared" ref="K27:AI27" ca="1" si="22">qa2_/wa</f>
        <v>5.1931687132871426E-3</v>
      </c>
      <c r="L27">
        <f t="shared" ca="1" si="22"/>
        <v>6.6998499834851913E-2</v>
      </c>
      <c r="M27">
        <f t="shared" ca="1" si="22"/>
        <v>0.45671650568540517</v>
      </c>
      <c r="N27">
        <f t="shared" ca="1" si="22"/>
        <v>0.73070212655570954</v>
      </c>
      <c r="O27">
        <f t="shared" ca="1" si="22"/>
        <v>0.70582034555445283</v>
      </c>
      <c r="P27">
        <f t="shared" ca="1" si="22"/>
        <v>0.65038079448538388</v>
      </c>
      <c r="Q27">
        <f t="shared" ca="1" si="22"/>
        <v>0.59727241091996264</v>
      </c>
      <c r="R27">
        <f t="shared" ca="1" si="22"/>
        <v>0.54809212417961339</v>
      </c>
      <c r="S27">
        <f t="shared" ca="1" si="22"/>
        <v>0.50139184122496439</v>
      </c>
      <c r="T27">
        <f t="shared" ca="1" si="22"/>
        <v>0.4573866489545716</v>
      </c>
      <c r="U27">
        <f t="shared" ca="1" si="22"/>
        <v>0.41785636140883003</v>
      </c>
      <c r="V27">
        <f t="shared" ca="1" si="22"/>
        <v>0.38102286889004189</v>
      </c>
      <c r="W27">
        <f t="shared" ca="1" si="22"/>
        <v>0.34675914873446506</v>
      </c>
      <c r="X27">
        <f t="shared" ca="1" si="22"/>
        <v>0.31598539750227739</v>
      </c>
      <c r="Y27">
        <f t="shared" ca="1" si="22"/>
        <v>0.28884736591147447</v>
      </c>
      <c r="Z27">
        <f t="shared" ca="1" si="22"/>
        <v>0.28818438187222206</v>
      </c>
      <c r="AA27">
        <f t="shared" ca="1" si="22"/>
        <v>0.28790368378105141</v>
      </c>
      <c r="AB27">
        <f t="shared" ca="1" si="22"/>
        <v>0.28779062070173472</v>
      </c>
      <c r="AC27">
        <f t="shared" ca="1" si="22"/>
        <v>0.28774603345642685</v>
      </c>
      <c r="AD27">
        <f t="shared" ca="1" si="22"/>
        <v>0.28772863224459816</v>
      </c>
      <c r="AE27">
        <f t="shared" ca="1" si="22"/>
        <v>0.28772190383722479</v>
      </c>
      <c r="AF27">
        <f t="shared" ca="1" si="22"/>
        <v>0.28771934703790958</v>
      </c>
      <c r="AG27">
        <f t="shared" ca="1" si="22"/>
        <v>0.28771841797856557</v>
      </c>
      <c r="AH27">
        <f t="shared" ca="1" si="22"/>
        <v>0.28771812363310695</v>
      </c>
      <c r="AI27">
        <f t="shared" ca="1" si="22"/>
        <v>0.28771807672186556</v>
      </c>
    </row>
    <row r="28" spans="1:39">
      <c r="A28" t="s">
        <v>15</v>
      </c>
      <c r="B28" s="28">
        <f ca="1">fbar*C28</f>
        <v>2.883099712139368E-2</v>
      </c>
      <c r="C28" s="36">
        <f ca="1">CHOOSE(C$25,E37,E40,1)</f>
        <v>0.63652138310653728</v>
      </c>
      <c r="E28" s="42">
        <f ca="1">f2_/(F5/(f2_*365*re*phib))</f>
        <v>39.461956078232795</v>
      </c>
      <c r="F28" s="107">
        <f t="shared" ref="F28:F29" ca="1" si="23">F5/E28</f>
        <v>244.24218046653786</v>
      </c>
      <c r="J28" s="8" t="s">
        <v>32</v>
      </c>
      <c r="K28">
        <f t="shared" ref="K28:AI28" ca="1" si="24">qa3_/wa</f>
        <v>2.0902009515993442E-5</v>
      </c>
      <c r="L28">
        <f t="shared" ca="1" si="24"/>
        <v>7.4798316485731025E-5</v>
      </c>
      <c r="M28">
        <f t="shared" ca="1" si="24"/>
        <v>2.6571843304238707E-4</v>
      </c>
      <c r="N28">
        <f t="shared" ca="1" si="24"/>
        <v>9.3702174632546108E-4</v>
      </c>
      <c r="O28">
        <f t="shared" ca="1" si="24"/>
        <v>3.2064314417516566E-3</v>
      </c>
      <c r="P28">
        <f t="shared" ca="1" si="24"/>
        <v>9.7877557744101666E-3</v>
      </c>
      <c r="Q28">
        <f t="shared" ca="1" si="24"/>
        <v>2.4067166829663929E-2</v>
      </c>
      <c r="R28">
        <f t="shared" ca="1" si="24"/>
        <v>7.3567528053368567E-2</v>
      </c>
      <c r="S28">
        <f t="shared" ca="1" si="24"/>
        <v>0.34605948403078984</v>
      </c>
      <c r="T28">
        <f t="shared" ca="1" si="24"/>
        <v>0.70967933875941436</v>
      </c>
      <c r="U28">
        <f t="shared" ca="1" si="24"/>
        <v>0.75071763952027293</v>
      </c>
      <c r="V28">
        <f t="shared" ca="1" si="24"/>
        <v>0.68796523890484751</v>
      </c>
      <c r="W28">
        <f t="shared" ca="1" si="24"/>
        <v>0.6158262784909283</v>
      </c>
      <c r="X28">
        <f t="shared" ca="1" si="24"/>
        <v>0.550030575996594</v>
      </c>
      <c r="Y28">
        <f t="shared" ca="1" si="24"/>
        <v>0.49248778786338565</v>
      </c>
      <c r="Z28">
        <f t="shared" ca="1" si="24"/>
        <v>0.49135739312410931</v>
      </c>
      <c r="AA28">
        <f t="shared" ca="1" si="24"/>
        <v>0.49087879993513606</v>
      </c>
      <c r="AB28">
        <f t="shared" ca="1" si="24"/>
        <v>0.49068602619927054</v>
      </c>
      <c r="AC28">
        <f t="shared" ca="1" si="24"/>
        <v>0.49061000447845848</v>
      </c>
      <c r="AD28">
        <f t="shared" ca="1" si="24"/>
        <v>0.49058033522981354</v>
      </c>
      <c r="AE28">
        <f t="shared" ca="1" si="24"/>
        <v>0.4905688632246849</v>
      </c>
      <c r="AF28">
        <f t="shared" ca="1" si="24"/>
        <v>0.49056450385504063</v>
      </c>
      <c r="AG28">
        <f t="shared" ca="1" si="24"/>
        <v>0.49056291979911654</v>
      </c>
      <c r="AH28">
        <f t="shared" ca="1" si="24"/>
        <v>0.4905624179370231</v>
      </c>
      <c r="AI28">
        <f t="shared" ca="1" si="24"/>
        <v>0.49056233795286447</v>
      </c>
    </row>
    <row r="29" spans="1:39">
      <c r="A29" t="s">
        <v>19</v>
      </c>
      <c r="B29" s="28">
        <f ca="1">fbar*C29</f>
        <v>2.2201948153923023E-2</v>
      </c>
      <c r="C29" s="36">
        <f ca="1">CHOOSE(C$25,E38,E41,1)</f>
        <v>0.49016739473461457</v>
      </c>
      <c r="E29" s="42">
        <f ca="1">f3_/(F6/(f3_*365*re*phib))</f>
        <v>30.775638297705683</v>
      </c>
      <c r="F29" s="107">
        <f t="shared" ca="1" si="23"/>
        <v>238.13684241055873</v>
      </c>
    </row>
    <row r="30" spans="1:39">
      <c r="A30" t="s">
        <v>95</v>
      </c>
      <c r="B30" s="28">
        <v>4.52946246372498E-2</v>
      </c>
      <c r="C30" s="36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0.13588387391174941</v>
      </c>
      <c r="G31">
        <f ca="1">SUMPRODUCT(dlz1_,wa,ma)</f>
        <v>-74.366819305087461</v>
      </c>
      <c r="H31">
        <f ca="1">Ro/(reck-1)*phie/phif^2*dphif</f>
        <v>-18086.174621220634</v>
      </c>
      <c r="J31" s="8" t="s">
        <v>52</v>
      </c>
      <c r="K31">
        <v>0</v>
      </c>
      <c r="L31">
        <f t="shared" ref="L31:AH31" ca="1" si="25">K31*sa-K$7*K18*K$10</f>
        <v>-2.409930726425711E-6</v>
      </c>
      <c r="M31">
        <f t="shared" ca="1" si="25"/>
        <v>-7.3552415847051689E-6</v>
      </c>
      <c r="N31">
        <f t="shared" ca="1" si="25"/>
        <v>-1.7746361945187268E-5</v>
      </c>
      <c r="O31">
        <f t="shared" ca="1" si="25"/>
        <v>-3.9880099902312921E-5</v>
      </c>
      <c r="P31">
        <f t="shared" ca="1" si="25"/>
        <v>-8.7467432751298183E-5</v>
      </c>
      <c r="Q31">
        <f t="shared" ca="1" si="25"/>
        <v>-1.903337734123391E-4</v>
      </c>
      <c r="R31">
        <f t="shared" ca="1" si="25"/>
        <v>-4.1757292550878707E-4</v>
      </c>
      <c r="S31">
        <f t="shared" ca="1" si="25"/>
        <v>-1.035296115235276E-3</v>
      </c>
      <c r="T31">
        <f t="shared" ca="1" si="25"/>
        <v>-4.1290581553285258E-3</v>
      </c>
      <c r="U31">
        <f t="shared" ca="1" si="25"/>
        <v>-1.571872111131668E-2</v>
      </c>
      <c r="V31">
        <f t="shared" ca="1" si="25"/>
        <v>-3.9240891902931674E-2</v>
      </c>
      <c r="W31">
        <f t="shared" ca="1" si="25"/>
        <v>-7.5293331659644511E-2</v>
      </c>
      <c r="X31">
        <f t="shared" ca="1" si="25"/>
        <v>-0.11713401784502113</v>
      </c>
      <c r="Y31">
        <f t="shared" ca="1" si="25"/>
        <v>-0.15228440771469057</v>
      </c>
      <c r="Z31">
        <f t="shared" ca="1" si="25"/>
        <v>-0.17291505332202645</v>
      </c>
      <c r="AA31">
        <f t="shared" ca="1" si="25"/>
        <v>-0.1790776697740189</v>
      </c>
      <c r="AB31">
        <f t="shared" ca="1" si="25"/>
        <v>-0.17444714797275357</v>
      </c>
      <c r="AC31">
        <f t="shared" ca="1" si="25"/>
        <v>-0.16299770845872616</v>
      </c>
      <c r="AD31">
        <f t="shared" ca="1" si="25"/>
        <v>-0.14787116062320702</v>
      </c>
      <c r="AE31">
        <f t="shared" ca="1" si="25"/>
        <v>-0.13126449265996432</v>
      </c>
      <c r="AF31">
        <f t="shared" ca="1" si="25"/>
        <v>-0.11460675696446343</v>
      </c>
      <c r="AG31">
        <f t="shared" ca="1" si="25"/>
        <v>-9.8767160863318798E-2</v>
      </c>
      <c r="AH31">
        <f t="shared" ca="1" si="25"/>
        <v>-8.4227336112764783E-2</v>
      </c>
      <c r="AI31">
        <f ca="1">(AH31*sa-AH$7*AH18*AH$10)/oa-AH$7*AH$10*flt1_*sa/oa^2</f>
        <v>-0.4059445696753553</v>
      </c>
    </row>
    <row r="32" spans="1:39">
      <c r="A32" s="12" t="s">
        <v>22</v>
      </c>
      <c r="B32" s="12"/>
      <c r="C32" s="12"/>
      <c r="G32">
        <f ca="1">SUMPRODUCT(dlz2_,wa,ma)</f>
        <v>-130.76613767444425</v>
      </c>
      <c r="H32">
        <f ca="1">Ro/(reck-1)*phie/phif^2*dphif</f>
        <v>-31802.613351258151</v>
      </c>
      <c r="J32" s="8" t="s">
        <v>53</v>
      </c>
      <c r="K32">
        <v>0</v>
      </c>
      <c r="L32">
        <f t="shared" ref="L32:AH32" ca="1" si="26">K32*sa-K$7*K19*K$10</f>
        <v>-4.8130150215878872E-3</v>
      </c>
      <c r="M32">
        <f t="shared" ca="1" si="26"/>
        <v>-5.7467372026525639E-2</v>
      </c>
      <c r="N32">
        <f t="shared" ca="1" si="26"/>
        <v>-0.35895274612058303</v>
      </c>
      <c r="O32">
        <f t="shared" ca="1" si="26"/>
        <v>-0.72194299544028895</v>
      </c>
      <c r="P32">
        <f t="shared" ca="1" si="26"/>
        <v>-0.94988823426612146</v>
      </c>
      <c r="Q32">
        <f t="shared" ca="1" si="26"/>
        <v>-1.0667721001069697</v>
      </c>
      <c r="R32">
        <f t="shared" ca="1" si="26"/>
        <v>-1.1059679933123934</v>
      </c>
      <c r="S32">
        <f t="shared" ca="1" si="26"/>
        <v>-1.0870623237871411</v>
      </c>
      <c r="T32">
        <f t="shared" ca="1" si="26"/>
        <v>-1.0237445756600216</v>
      </c>
      <c r="U32">
        <f t="shared" ca="1" si="26"/>
        <v>-0.9343665769799897</v>
      </c>
      <c r="V32">
        <f t="shared" ca="1" si="26"/>
        <v>-0.82816183733102489</v>
      </c>
      <c r="W32">
        <f t="shared" ca="1" si="26"/>
        <v>-0.712738070889822</v>
      </c>
      <c r="X32">
        <f t="shared" ca="1" si="26"/>
        <v>-0.59857212392298009</v>
      </c>
      <c r="Y32">
        <f t="shared" ca="1" si="26"/>
        <v>-0.49449193090205373</v>
      </c>
      <c r="Z32">
        <f t="shared" ca="1" si="26"/>
        <v>-0.40361790943053799</v>
      </c>
      <c r="AA32">
        <f t="shared" ca="1" si="26"/>
        <v>-0.32801851942199362</v>
      </c>
      <c r="AB32">
        <f t="shared" ca="1" si="26"/>
        <v>-0.26578863878651493</v>
      </c>
      <c r="AC32">
        <f t="shared" ca="1" si="26"/>
        <v>-0.21486814912116606</v>
      </c>
      <c r="AD32">
        <f t="shared" ca="1" si="26"/>
        <v>-0.17336419929131167</v>
      </c>
      <c r="AE32">
        <f t="shared" ca="1" si="26"/>
        <v>-0.13963509981440181</v>
      </c>
      <c r="AF32">
        <f t="shared" ca="1" si="26"/>
        <v>-0.11229146418304957</v>
      </c>
      <c r="AG32">
        <f t="shared" ca="1" si="26"/>
        <v>-9.0171863683114181E-2</v>
      </c>
      <c r="AH32">
        <f t="shared" ca="1" si="26"/>
        <v>-7.2312652371452221E-2</v>
      </c>
      <c r="AI32">
        <f ca="1">(AH32*sa-AH$7*AH19*AH$10)/oa-AH$7*AH$10*flt2_*sa/oa^2</f>
        <v>-0.28569393464269022</v>
      </c>
    </row>
    <row r="33" spans="1:35">
      <c r="A33" s="59" t="s">
        <v>128</v>
      </c>
      <c r="B33" s="60">
        <f ca="1">SUMPRODUCT(lz,wa)</f>
        <v>38.344152478922155</v>
      </c>
      <c r="C33" s="59"/>
      <c r="D33" s="61"/>
      <c r="E33" s="61"/>
      <c r="G33">
        <f ca="1">SUMPRODUCT(dlz3_,wa,ma)</f>
        <v>-89.932041672930652</v>
      </c>
      <c r="H33">
        <f ca="1">Ro/(reck-1)*phie/phif^2*dphif</f>
        <v>-21871.671061616096</v>
      </c>
      <c r="J33" s="8" t="s">
        <v>54</v>
      </c>
      <c r="K33">
        <v>0</v>
      </c>
      <c r="L33">
        <f t="shared" ref="L33:AH33" ca="1" si="27">K33*sa-K$7*K20*K$10</f>
        <v>-1.9371927109637668E-5</v>
      </c>
      <c r="M33">
        <f t="shared" ca="1" si="27"/>
        <v>-7.6035381952314462E-5</v>
      </c>
      <c r="N33">
        <f t="shared" ca="1" si="27"/>
        <v>-2.4467356864725081E-4</v>
      </c>
      <c r="O33">
        <f t="shared" ca="1" si="27"/>
        <v>-7.4427502031915139E-4</v>
      </c>
      <c r="P33">
        <f t="shared" ca="1" si="27"/>
        <v>-2.1775767268697333E-3</v>
      </c>
      <c r="Q33">
        <f t="shared" ca="1" si="27"/>
        <v>-5.8245415576019853E-3</v>
      </c>
      <c r="R33">
        <f t="shared" ca="1" si="27"/>
        <v>-1.3187494509593325E-2</v>
      </c>
      <c r="S33">
        <f t="shared" ca="1" si="27"/>
        <v>-3.2407742284958581E-2</v>
      </c>
      <c r="T33">
        <f t="shared" ca="1" si="27"/>
        <v>-0.1113662178059299</v>
      </c>
      <c r="U33">
        <f t="shared" ca="1" si="27"/>
        <v>-0.23602181616220325</v>
      </c>
      <c r="V33">
        <f t="shared" ca="1" si="27"/>
        <v>-0.31761706041002125</v>
      </c>
      <c r="W33">
        <f t="shared" ca="1" si="27"/>
        <v>-0.34767568241229835</v>
      </c>
      <c r="X33">
        <f t="shared" ca="1" si="27"/>
        <v>-0.34125271911996202</v>
      </c>
      <c r="Y33">
        <f t="shared" ca="1" si="27"/>
        <v>-0.31421052380266706</v>
      </c>
      <c r="Z33">
        <f t="shared" ca="1" si="27"/>
        <v>-0.27758745780439098</v>
      </c>
      <c r="AA33">
        <f t="shared" ca="1" si="27"/>
        <v>-0.24118751459161558</v>
      </c>
      <c r="AB33">
        <f t="shared" ca="1" si="27"/>
        <v>-0.20694667083734461</v>
      </c>
      <c r="AC33">
        <f t="shared" ca="1" si="27"/>
        <v>-0.17581526421406554</v>
      </c>
      <c r="AD33">
        <f t="shared" ca="1" si="27"/>
        <v>-0.14816277363786209</v>
      </c>
      <c r="AE33">
        <f t="shared" ca="1" si="27"/>
        <v>-0.12401721592630235</v>
      </c>
      <c r="AF33">
        <f t="shared" ca="1" si="27"/>
        <v>-0.10321040971547217</v>
      </c>
      <c r="AG33">
        <f t="shared" ca="1" si="27"/>
        <v>-8.5468823265522201E-2</v>
      </c>
      <c r="AH33">
        <f t="shared" ca="1" si="27"/>
        <v>-7.0471089866848385E-2</v>
      </c>
      <c r="AI33">
        <f ca="1">(AH33*sa-AH$7*AH20*AH$10)/oa-AH$7*AH$10*flt3_*sa/oa^2</f>
        <v>-0.30654139941341407</v>
      </c>
    </row>
    <row r="34" spans="1:35">
      <c r="A34" t="s">
        <v>28</v>
      </c>
      <c r="B34" s="1">
        <f>SUMPRODUCT(lx,wa,ma)</f>
        <v>42.964265069494779</v>
      </c>
      <c r="G34" t="s">
        <v>57</v>
      </c>
      <c r="J34" s="8"/>
    </row>
    <row r="35" spans="1:35">
      <c r="A35" t="s">
        <v>27</v>
      </c>
      <c r="B35" s="1">
        <f ca="1">SUMPRODUCT(lz,wa,ma)</f>
        <v>19.333919281274817</v>
      </c>
      <c r="F35" s="37"/>
      <c r="G35" s="1">
        <f ca="1">SUM(dqa11_)</f>
        <v>385.27468335649411</v>
      </c>
      <c r="H35" s="1">
        <f ca="1">SUM(dqa12_)</f>
        <v>388.77549510647145</v>
      </c>
      <c r="I35" s="11">
        <f ca="1">SUM(dqa13_)</f>
        <v>387.01024518409292</v>
      </c>
      <c r="J35" s="8" t="s">
        <v>62</v>
      </c>
      <c r="K35">
        <f ca="1">flt1_*qa1_+lz*wa*flt1_^2/za*(sa-oa/za)</f>
        <v>3.0076553803914166E-13</v>
      </c>
      <c r="L35">
        <f t="shared" ref="L35:AI35" ca="1" si="28">flt1_*qa1_+lz*wa*flt1_^2/za*(sa-oa/za)</f>
        <v>9.5535690089999487E-12</v>
      </c>
      <c r="M35">
        <f t="shared" ca="1" si="28"/>
        <v>1.7509146642844742E-10</v>
      </c>
      <c r="N35">
        <f t="shared" ca="1" si="28"/>
        <v>2.4413732806718753E-9</v>
      </c>
      <c r="O35">
        <f t="shared" ca="1" si="28"/>
        <v>2.8826524753816248E-8</v>
      </c>
      <c r="P35">
        <f t="shared" ca="1" si="28"/>
        <v>3.0309002969007101E-7</v>
      </c>
      <c r="Q35">
        <f t="shared" ca="1" si="28"/>
        <v>3.0336440262998089E-6</v>
      </c>
      <c r="R35">
        <f t="shared" ca="1" si="28"/>
        <v>4.1649091632341065E-5</v>
      </c>
      <c r="S35">
        <f t="shared" ca="1" si="28"/>
        <v>1.7635674017784709E-3</v>
      </c>
      <c r="T35">
        <f t="shared" ca="1" si="28"/>
        <v>4.5739893147002386E-2</v>
      </c>
      <c r="U35">
        <f t="shared" ca="1" si="28"/>
        <v>0.38156560701077108</v>
      </c>
      <c r="V35">
        <f t="shared" ca="1" si="28"/>
        <v>1.8978007207389511</v>
      </c>
      <c r="W35">
        <f t="shared" ca="1" si="28"/>
        <v>5.9974215635756112</v>
      </c>
      <c r="X35">
        <f t="shared" ca="1" si="28"/>
        <v>12.223174224327346</v>
      </c>
      <c r="Y35">
        <f t="shared" ca="1" si="28"/>
        <v>18.223822411528047</v>
      </c>
      <c r="Z35">
        <f t="shared" ca="1" si="28"/>
        <v>22.86380860791763</v>
      </c>
      <c r="AA35">
        <f t="shared" ca="1" si="28"/>
        <v>26.407928254342927</v>
      </c>
      <c r="AB35">
        <f t="shared" ca="1" si="28"/>
        <v>29.316325708244495</v>
      </c>
      <c r="AC35">
        <f t="shared" ca="1" si="28"/>
        <v>31.87903210021399</v>
      </c>
      <c r="AD35">
        <f t="shared" ca="1" si="28"/>
        <v>34.237662399131935</v>
      </c>
      <c r="AE35">
        <f t="shared" ca="1" si="28"/>
        <v>36.454339434653903</v>
      </c>
      <c r="AF35">
        <f t="shared" ca="1" si="28"/>
        <v>38.554769659341524</v>
      </c>
      <c r="AG35">
        <f t="shared" ca="1" si="28"/>
        <v>40.549322634325257</v>
      </c>
      <c r="AH35">
        <f t="shared" ca="1" si="28"/>
        <v>42.442431861953416</v>
      </c>
      <c r="AI35">
        <f t="shared" ca="1" si="28"/>
        <v>43.797729691360978</v>
      </c>
    </row>
    <row r="36" spans="1:35">
      <c r="A36" t="s">
        <v>33</v>
      </c>
      <c r="B36" s="1">
        <f ca="1">SUMPRODUCT(lz,ta1_)</f>
        <v>0.52642051232293252</v>
      </c>
      <c r="C36" s="29">
        <f ca="1">B11/(phi_t1/SUM(B$36:B$38))</f>
        <v>2.417801947899612</v>
      </c>
      <c r="E36" s="38">
        <f ca="1">C36/AVERAGE(C$36:C$38)</f>
        <v>1.8733112221588486</v>
      </c>
      <c r="G36" s="1">
        <f ca="1">SUM(dqa21_)</f>
        <v>388.77549510647145</v>
      </c>
      <c r="H36" s="1">
        <f ca="1">SUM(dqa22_)</f>
        <v>62.897769552773127</v>
      </c>
      <c r="I36" s="11">
        <f ca="1">SUM(dqa23_)</f>
        <v>388.12186885807631</v>
      </c>
      <c r="J36" s="8" t="s">
        <v>63</v>
      </c>
      <c r="K36">
        <f t="shared" ref="K36:AI36" ca="1" si="29">flt2_*qa2_+lz*wa*flt2_^2/za*(sa-oa/za)</f>
        <v>1.1996467708378957E-6</v>
      </c>
      <c r="L36">
        <f t="shared" ca="1" si="29"/>
        <v>9.6543444973883649E-4</v>
      </c>
      <c r="M36">
        <f t="shared" ca="1" si="29"/>
        <v>0.12642553056749178</v>
      </c>
      <c r="N36">
        <f t="shared" ca="1" si="29"/>
        <v>0.69157346647677254</v>
      </c>
      <c r="O36">
        <f t="shared" ca="1" si="29"/>
        <v>1.1576119781536229</v>
      </c>
      <c r="P36">
        <f t="shared" ca="1" si="29"/>
        <v>1.5669672784075932</v>
      </c>
      <c r="Q36">
        <f t="shared" ca="1" si="29"/>
        <v>1.9364869383821728</v>
      </c>
      <c r="R36">
        <f t="shared" ca="1" si="29"/>
        <v>2.2446420926599435</v>
      </c>
      <c r="S36">
        <f t="shared" ca="1" si="29"/>
        <v>2.470843840640315</v>
      </c>
      <c r="T36">
        <f t="shared" ca="1" si="29"/>
        <v>2.61158534527832</v>
      </c>
      <c r="U36">
        <f t="shared" ca="1" si="29"/>
        <v>2.6813258075854338</v>
      </c>
      <c r="V36">
        <f t="shared" ca="1" si="29"/>
        <v>2.6781283851797517</v>
      </c>
      <c r="W36">
        <f t="shared" ca="1" si="29"/>
        <v>2.6132237455528839</v>
      </c>
      <c r="X36">
        <f t="shared" ca="1" si="29"/>
        <v>2.5071991975563037</v>
      </c>
      <c r="Y36">
        <f t="shared" ca="1" si="29"/>
        <v>2.3750243668057633</v>
      </c>
      <c r="Z36">
        <f t="shared" ca="1" si="29"/>
        <v>2.6392210618278158</v>
      </c>
      <c r="AA36">
        <f t="shared" ca="1" si="29"/>
        <v>2.9015509706715235</v>
      </c>
      <c r="AB36">
        <f t="shared" ca="1" si="29"/>
        <v>3.1587290526689942</v>
      </c>
      <c r="AC36">
        <f t="shared" ca="1" si="29"/>
        <v>3.4086321357940723</v>
      </c>
      <c r="AD36">
        <f t="shared" ca="1" si="29"/>
        <v>3.6499222255015416</v>
      </c>
      <c r="AE36">
        <f t="shared" ca="1" si="29"/>
        <v>3.8817566376428303</v>
      </c>
      <c r="AF36">
        <f t="shared" ca="1" si="29"/>
        <v>4.1036195506633568</v>
      </c>
      <c r="AG36">
        <f t="shared" ca="1" si="29"/>
        <v>4.3152257130556473</v>
      </c>
      <c r="AH36">
        <f t="shared" ca="1" si="29"/>
        <v>4.5164613000768936</v>
      </c>
      <c r="AI36">
        <f t="shared" ca="1" si="29"/>
        <v>4.660646297527574</v>
      </c>
    </row>
    <row r="37" spans="1:35">
      <c r="A37" t="s">
        <v>34</v>
      </c>
      <c r="B37" s="1">
        <f ca="1">SUMPRODUCT(lz,ta2_)</f>
        <v>2.4625428482562843</v>
      </c>
      <c r="C37" s="29">
        <f ca="1">B12/(phi_t2/SUM(B$36:B$38))</f>
        <v>0.82153067880583175</v>
      </c>
      <c r="E37" s="38">
        <f ca="1">C37/AVERAGE(C$36:C$38)</f>
        <v>0.63652138310653739</v>
      </c>
      <c r="G37" s="1">
        <f ca="1">SUM(dqa31_)</f>
        <v>387.01024518409292</v>
      </c>
      <c r="H37" s="1">
        <f ca="1">SUM(dqa32_)</f>
        <v>388.12186885807631</v>
      </c>
      <c r="I37" s="1">
        <f ca="1">SUM(dqa33_)</f>
        <v>155.88369035662103</v>
      </c>
      <c r="J37" s="8" t="s">
        <v>64</v>
      </c>
      <c r="K37">
        <f t="shared" ref="K37:AI37" ca="1" si="30">flt3_*qa3_+lz*wa*flt3_^2/za*(sa-oa/za)</f>
        <v>1.9434107808948146E-11</v>
      </c>
      <c r="L37">
        <f t="shared" ca="1" si="30"/>
        <v>1.2033065508284662E-9</v>
      </c>
      <c r="M37">
        <f t="shared" ca="1" si="30"/>
        <v>4.2794182638566616E-8</v>
      </c>
      <c r="N37">
        <f t="shared" ca="1" si="30"/>
        <v>1.1372525518499775E-6</v>
      </c>
      <c r="O37">
        <f t="shared" ca="1" si="30"/>
        <v>2.3890133853836018E-5</v>
      </c>
      <c r="P37">
        <f t="shared" ca="1" si="30"/>
        <v>3.5488754649923439E-4</v>
      </c>
      <c r="Q37">
        <f t="shared" ca="1" si="30"/>
        <v>3.1442683210038116E-3</v>
      </c>
      <c r="R37">
        <f t="shared" ca="1" si="30"/>
        <v>4.0440108004997886E-2</v>
      </c>
      <c r="S37">
        <f t="shared" ca="1" si="30"/>
        <v>1.1770428807608428</v>
      </c>
      <c r="T37">
        <f t="shared" ca="1" si="30"/>
        <v>6.2872622998212044</v>
      </c>
      <c r="U37">
        <f t="shared" ca="1" si="30"/>
        <v>8.6546357222125287</v>
      </c>
      <c r="V37">
        <f t="shared" ca="1" si="30"/>
        <v>8.7309660040548884</v>
      </c>
      <c r="W37">
        <f t="shared" ca="1" si="30"/>
        <v>8.2420866096577399</v>
      </c>
      <c r="X37">
        <f t="shared" ca="1" si="30"/>
        <v>7.5967612656014447</v>
      </c>
      <c r="Y37">
        <f t="shared" ca="1" si="30"/>
        <v>6.9043401382071137</v>
      </c>
      <c r="Z37">
        <f t="shared" ca="1" si="30"/>
        <v>7.6723759829406601</v>
      </c>
      <c r="AA37">
        <f t="shared" ca="1" si="30"/>
        <v>8.4349849668298553</v>
      </c>
      <c r="AB37">
        <f t="shared" ca="1" si="30"/>
        <v>9.1826172770576378</v>
      </c>
      <c r="AC37">
        <f t="shared" ca="1" si="30"/>
        <v>9.9091007235423323</v>
      </c>
      <c r="AD37">
        <f t="shared" ca="1" si="30"/>
        <v>10.610545674845907</v>
      </c>
      <c r="AE37">
        <f t="shared" ca="1" si="30"/>
        <v>11.284502396947891</v>
      </c>
      <c r="AF37">
        <f t="shared" ca="1" si="30"/>
        <v>11.929471365248355</v>
      </c>
      <c r="AG37">
        <f t="shared" ca="1" si="30"/>
        <v>12.544623336283498</v>
      </c>
      <c r="AH37">
        <f t="shared" ca="1" si="30"/>
        <v>13.129627414610116</v>
      </c>
      <c r="AI37">
        <f t="shared" ca="1" si="30"/>
        <v>13.548781962723195</v>
      </c>
    </row>
    <row r="38" spans="1:35">
      <c r="A38" t="s">
        <v>35</v>
      </c>
      <c r="B38" s="1">
        <f ca="1">SUMPRODUCT(lz,ta3_)</f>
        <v>0.83533842793771584</v>
      </c>
      <c r="C38" s="29">
        <f ca="1">B13/(phi_t3/SUM(B$36:B$38))</f>
        <v>0.63263790221704785</v>
      </c>
      <c r="E38" s="38">
        <f ca="1">C38/AVERAGE(C$36:C$38)</f>
        <v>0.49016739473461413</v>
      </c>
      <c r="G38" t="s">
        <v>69</v>
      </c>
      <c r="J38" s="8" t="s">
        <v>60</v>
      </c>
      <c r="K38">
        <f t="shared" ref="K38:AI38" ca="1" si="31">flt1_*qa1_+lz*wa*flt2_*flt1_/za*(sa-oa/za)</f>
        <v>-5.7076835440874184E-10</v>
      </c>
      <c r="L38">
        <f t="shared" ca="1" si="31"/>
        <v>-6.9352204363448573E-8</v>
      </c>
      <c r="M38">
        <f t="shared" ca="1" si="31"/>
        <v>-2.6400662260823016E-6</v>
      </c>
      <c r="N38">
        <f t="shared" ca="1" si="31"/>
        <v>-1.7990605531964383E-5</v>
      </c>
      <c r="O38">
        <f t="shared" ca="1" si="31"/>
        <v>-6.2886023708157786E-5</v>
      </c>
      <c r="P38">
        <f t="shared" ca="1" si="31"/>
        <v>-1.8917908857919483E-4</v>
      </c>
      <c r="Q38">
        <f t="shared" ca="1" si="31"/>
        <v>-5.3528677870146057E-4</v>
      </c>
      <c r="R38">
        <f t="shared" ca="1" si="31"/>
        <v>-1.7052418557187993E-3</v>
      </c>
      <c r="S38">
        <f t="shared" ca="1" si="31"/>
        <v>-7.797973265995092E-3</v>
      </c>
      <c r="T38">
        <f t="shared" ca="1" si="31"/>
        <v>9.249679056648516E-3</v>
      </c>
      <c r="U38">
        <f t="shared" ca="1" si="31"/>
        <v>0.3194122675860952</v>
      </c>
      <c r="V38">
        <f t="shared" ca="1" si="31"/>
        <v>1.8694521190345381</v>
      </c>
      <c r="W38">
        <f t="shared" ca="1" si="31"/>
        <v>6.1265151481947138</v>
      </c>
      <c r="X38">
        <f t="shared" ca="1" si="31"/>
        <v>12.555762544631129</v>
      </c>
      <c r="Y38">
        <f t="shared" ca="1" si="31"/>
        <v>18.673702438544389</v>
      </c>
      <c r="Z38">
        <f t="shared" ca="1" si="31"/>
        <v>23.314498839211961</v>
      </c>
      <c r="AA38">
        <f t="shared" ca="1" si="31"/>
        <v>26.814236794534914</v>
      </c>
      <c r="AB38">
        <f t="shared" ca="1" si="31"/>
        <v>29.665591263439016</v>
      </c>
      <c r="AC38">
        <f t="shared" ca="1" si="31"/>
        <v>32.172383124182247</v>
      </c>
      <c r="AD38">
        <f t="shared" ca="1" si="31"/>
        <v>34.480880940005633</v>
      </c>
      <c r="AE38">
        <f t="shared" ca="1" si="31"/>
        <v>36.654286716441192</v>
      </c>
      <c r="AF38">
        <f t="shared" ca="1" si="31"/>
        <v>38.718097324404603</v>
      </c>
      <c r="AG38">
        <f t="shared" ca="1" si="31"/>
        <v>40.682039472119889</v>
      </c>
      <c r="AH38">
        <f t="shared" ca="1" si="31"/>
        <v>42.549788725229448</v>
      </c>
      <c r="AI38">
        <f t="shared" ca="1" si="31"/>
        <v>44.179908977462446</v>
      </c>
    </row>
    <row r="39" spans="1:35">
      <c r="A39" s="1" t="s">
        <v>36</v>
      </c>
      <c r="B39" s="1">
        <f ca="1">SUMPRODUCT(lz,qa1_)</f>
        <v>14.721769103275122</v>
      </c>
      <c r="C39" s="23">
        <f ca="1">B4/(phi_q1/SUM(B$39:B$41))</f>
        <v>1.9205105408231611</v>
      </c>
      <c r="D39" s="21"/>
      <c r="E39" s="39">
        <f ca="1">C39/AVERAGE(C$39:C$41)</f>
        <v>1.8733112221588482</v>
      </c>
      <c r="G39" s="108">
        <f ca="1">re*phi_q1+f1_*phi_q1*$H31+f1_*re*G35</f>
        <v>958329.89890914236</v>
      </c>
      <c r="H39" s="108">
        <f ca="1">0*re*phi_q1+f1_*phi_q1*$H32+f1_*re*H35</f>
        <v>642762.45138516254</v>
      </c>
      <c r="I39" s="108">
        <f ca="1">0*re*phi_q1+f1_*phi_q1*$H33+f1_*re*I35</f>
        <v>652068.87867223553</v>
      </c>
      <c r="J39" s="8" t="s">
        <v>66</v>
      </c>
      <c r="K39">
        <f t="shared" ref="K39:AI39" ca="1" si="32">flt1_*qa1_+lz*wa*flt3_*flt1_/za*(sa-oa/za)</f>
        <v>-1.7128007730892424E-12</v>
      </c>
      <c r="L39">
        <f t="shared" ca="1" si="32"/>
        <v>-6.0990268616549759E-11</v>
      </c>
      <c r="M39">
        <f t="shared" ca="1" si="32"/>
        <v>-1.2628029758112488E-9</v>
      </c>
      <c r="N39">
        <f t="shared" ca="1" si="32"/>
        <v>-1.9564401159551918E-8</v>
      </c>
      <c r="O39">
        <f t="shared" ca="1" si="32"/>
        <v>-2.4710120432743568E-7</v>
      </c>
      <c r="P39">
        <f t="shared" ca="1" si="32"/>
        <v>-2.4663619410131643E-6</v>
      </c>
      <c r="Q39">
        <f t="shared" ca="1" si="32"/>
        <v>-1.801060806254236E-5</v>
      </c>
      <c r="R39">
        <f t="shared" ca="1" si="32"/>
        <v>-1.8628393769223506E-4</v>
      </c>
      <c r="S39">
        <f t="shared" ca="1" si="32"/>
        <v>-4.7544752984412693E-3</v>
      </c>
      <c r="T39">
        <f t="shared" ca="1" si="32"/>
        <v>-1.3948221320479917E-2</v>
      </c>
      <c r="U39">
        <f t="shared" ca="1" si="32"/>
        <v>0.23991078660967591</v>
      </c>
      <c r="V39">
        <f t="shared" ca="1" si="32"/>
        <v>1.7250961945548782</v>
      </c>
      <c r="W39">
        <f t="shared" ca="1" si="32"/>
        <v>5.9319858623312731</v>
      </c>
      <c r="X39">
        <f t="shared" ca="1" si="32"/>
        <v>12.351835199655534</v>
      </c>
      <c r="Y39">
        <f t="shared" ca="1" si="32"/>
        <v>18.494514102160196</v>
      </c>
      <c r="Z39">
        <f t="shared" ca="1" si="32"/>
        <v>23.150993840864366</v>
      </c>
      <c r="AA39">
        <f t="shared" ca="1" si="32"/>
        <v>26.672206691629182</v>
      </c>
      <c r="AB39">
        <f t="shared" ca="1" si="32"/>
        <v>29.545269702644994</v>
      </c>
      <c r="AC39">
        <f t="shared" ca="1" si="32"/>
        <v>32.071898261160207</v>
      </c>
      <c r="AD39">
        <f t="shared" ca="1" si="32"/>
        <v>34.397752890280969</v>
      </c>
      <c r="AE39">
        <f t="shared" ca="1" si="32"/>
        <v>36.586006490570782</v>
      </c>
      <c r="AF39">
        <f t="shared" ca="1" si="32"/>
        <v>38.662340488541481</v>
      </c>
      <c r="AG39">
        <f t="shared" ca="1" si="32"/>
        <v>40.636737913990707</v>
      </c>
      <c r="AH39">
        <f t="shared" ca="1" si="32"/>
        <v>42.51314490940716</v>
      </c>
      <c r="AI39">
        <f t="shared" ca="1" si="32"/>
        <v>44.049461575209172</v>
      </c>
    </row>
    <row r="40" spans="1:35">
      <c r="A40" s="1" t="s">
        <v>37</v>
      </c>
      <c r="B40" s="1">
        <f ca="1">SUMPRODUCT(lz,qa2_)</f>
        <v>16.158443512265514</v>
      </c>
      <c r="C40" s="23">
        <f ca="1">B5/(phi_q2/SUM(B$39:B$41))</f>
        <v>0.65255896150916493</v>
      </c>
      <c r="D40" s="21"/>
      <c r="E40" s="39">
        <f ca="1">C40/AVERAGE(C$39:C$41)</f>
        <v>0.63652138310653728</v>
      </c>
      <c r="G40" s="108">
        <f ca="1">0*re*phi_q1+f1_*phi_q1*$H32+f1_*re*G36</f>
        <v>642762.45138516254</v>
      </c>
      <c r="H40" s="108">
        <f ca="1">re*phi_q2+f2_*phi_q2*$H32+f2_*re*H36</f>
        <v>357004.39419180527</v>
      </c>
      <c r="I40" s="108">
        <f ca="1">0*re*phi_q3+f3_*phi_q3*$H33+f3_*re*I36</f>
        <v>170530.88122922648</v>
      </c>
      <c r="J40" s="8" t="s">
        <v>65</v>
      </c>
      <c r="K40">
        <f t="shared" ref="K40:AI40" ca="1" si="33">flt1_*qa1_+lz*wa*flt1_*flt2_/za*(sa-oa/za)</f>
        <v>-5.7076835440874184E-10</v>
      </c>
      <c r="L40">
        <f t="shared" ca="1" si="33"/>
        <v>-6.9352204363448547E-8</v>
      </c>
      <c r="M40">
        <f t="shared" ca="1" si="33"/>
        <v>-2.6400662260823016E-6</v>
      </c>
      <c r="N40">
        <f t="shared" ca="1" si="33"/>
        <v>-1.7990605531964383E-5</v>
      </c>
      <c r="O40">
        <f t="shared" ca="1" si="33"/>
        <v>-6.2886023708157786E-5</v>
      </c>
      <c r="P40">
        <f t="shared" ca="1" si="33"/>
        <v>-1.8917908857919483E-4</v>
      </c>
      <c r="Q40">
        <f t="shared" ca="1" si="33"/>
        <v>-5.3528677870146057E-4</v>
      </c>
      <c r="R40">
        <f t="shared" ca="1" si="33"/>
        <v>-1.7052418557187989E-3</v>
      </c>
      <c r="S40">
        <f t="shared" ca="1" si="33"/>
        <v>-7.7979732659950902E-3</v>
      </c>
      <c r="T40">
        <f t="shared" ca="1" si="33"/>
        <v>9.249679056648516E-3</v>
      </c>
      <c r="U40">
        <f t="shared" ca="1" si="33"/>
        <v>0.3194122675860952</v>
      </c>
      <c r="V40">
        <f t="shared" ca="1" si="33"/>
        <v>1.8694521190345381</v>
      </c>
      <c r="W40">
        <f t="shared" ca="1" si="33"/>
        <v>6.1265151481947138</v>
      </c>
      <c r="X40">
        <f t="shared" ca="1" si="33"/>
        <v>12.555762544631129</v>
      </c>
      <c r="Y40">
        <f t="shared" ca="1" si="33"/>
        <v>18.673702438544389</v>
      </c>
      <c r="Z40">
        <f t="shared" ca="1" si="33"/>
        <v>23.314498839211961</v>
      </c>
      <c r="AA40">
        <f t="shared" ca="1" si="33"/>
        <v>26.814236794534914</v>
      </c>
      <c r="AB40">
        <f t="shared" ca="1" si="33"/>
        <v>29.665591263439016</v>
      </c>
      <c r="AC40">
        <f t="shared" ca="1" si="33"/>
        <v>32.172383124182247</v>
      </c>
      <c r="AD40">
        <f t="shared" ca="1" si="33"/>
        <v>34.480880940005633</v>
      </c>
      <c r="AE40">
        <f t="shared" ca="1" si="33"/>
        <v>36.654286716441192</v>
      </c>
      <c r="AF40">
        <f t="shared" ca="1" si="33"/>
        <v>38.718097324404603</v>
      </c>
      <c r="AG40">
        <f t="shared" ca="1" si="33"/>
        <v>40.682039472119889</v>
      </c>
      <c r="AH40">
        <f t="shared" ca="1" si="33"/>
        <v>42.549788725229448</v>
      </c>
      <c r="AI40">
        <f t="shared" ca="1" si="33"/>
        <v>44.179908977462446</v>
      </c>
    </row>
    <row r="41" spans="1:35">
      <c r="A41" s="1" t="s">
        <v>38</v>
      </c>
      <c r="B41" s="1">
        <f ca="1">SUMPRODUCT(lz,qa3_)</f>
        <v>15.955208560621061</v>
      </c>
      <c r="C41" s="23">
        <f ca="1">B6/(phi_q3/SUM(B$39:B$41))</f>
        <v>0.50251748733496382</v>
      </c>
      <c r="D41" s="21"/>
      <c r="E41" s="39">
        <f ca="1">C41/AVERAGE(C$39:C$41)</f>
        <v>0.49016739473461457</v>
      </c>
      <c r="G41" s="108">
        <f ca="1">0*re*phi_q1+f1_*phi_q1*$H33+f1_*re*G37</f>
        <v>652068.87867223553</v>
      </c>
      <c r="H41" s="108">
        <f ca="1">0*re*phi_q3+f3_*phi_q3*$H33+f3_*re*H37</f>
        <v>170530.88122922648</v>
      </c>
      <c r="I41" s="108">
        <f ca="1">re*phi_q3+f1_*phi_q3*$H33+f3_*re*I37</f>
        <v>372090.68319267896</v>
      </c>
      <c r="J41" s="8" t="s">
        <v>67</v>
      </c>
      <c r="K41">
        <f t="shared" ref="K41:AI41" ca="1" si="34">flt1_*qa1_+lz*wa*flt3_*flt2_/za*(sa-oa/za)</f>
        <v>-4.5921805867835327E-9</v>
      </c>
      <c r="L41">
        <f t="shared" ca="1" si="34"/>
        <v>-7.7850146626723801E-7</v>
      </c>
      <c r="M41">
        <f t="shared" ca="1" si="34"/>
        <v>-4.1277823288728862E-5</v>
      </c>
      <c r="N41">
        <f t="shared" ca="1" si="34"/>
        <v>-3.8836309845090674E-4</v>
      </c>
      <c r="O41">
        <f t="shared" ca="1" si="34"/>
        <v>-1.8114467051656856E-3</v>
      </c>
      <c r="P41">
        <f t="shared" ca="1" si="34"/>
        <v>-6.4862411918110291E-3</v>
      </c>
      <c r="Q41">
        <f t="shared" ca="1" si="34"/>
        <v>-1.7348800100787515E-2</v>
      </c>
      <c r="R41">
        <f t="shared" ca="1" si="34"/>
        <v>-5.4620150045894447E-2</v>
      </c>
      <c r="S41">
        <f t="shared" ca="1" si="34"/>
        <v>-0.25177212639624025</v>
      </c>
      <c r="T41">
        <f t="shared" ca="1" si="34"/>
        <v>-0.44176678776382061</v>
      </c>
      <c r="U41">
        <f t="shared" ca="1" si="34"/>
        <v>-5.6097761792974155E-2</v>
      </c>
      <c r="V41">
        <f t="shared" ca="1" si="34"/>
        <v>1.664291447362106</v>
      </c>
      <c r="W41">
        <f t="shared" ca="1" si="34"/>
        <v>6.0833214121084715</v>
      </c>
      <c r="X41">
        <f t="shared" ca="1" si="34"/>
        <v>12.614033113552622</v>
      </c>
      <c r="Y41">
        <f t="shared" ca="1" si="34"/>
        <v>18.771423735446533</v>
      </c>
      <c r="Z41">
        <f t="shared" ca="1" si="34"/>
        <v>23.412070950154696</v>
      </c>
      <c r="AA41">
        <f t="shared" ca="1" si="34"/>
        <v>26.901837916083828</v>
      </c>
      <c r="AB41">
        <f t="shared" ca="1" si="34"/>
        <v>29.740741555732896</v>
      </c>
      <c r="AC41">
        <f t="shared" ca="1" si="34"/>
        <v>32.235448870475636</v>
      </c>
      <c r="AD41">
        <f t="shared" ca="1" si="34"/>
        <v>34.533151275737666</v>
      </c>
      <c r="AE41">
        <f t="shared" ca="1" si="34"/>
        <v>36.697251898900049</v>
      </c>
      <c r="AF41">
        <f t="shared" ca="1" si="34"/>
        <v>38.753191820022259</v>
      </c>
      <c r="AG41">
        <f t="shared" ca="1" si="34"/>
        <v>40.710556043493341</v>
      </c>
      <c r="AH41">
        <f t="shared" ca="1" si="34"/>
        <v>42.57285612119518</v>
      </c>
      <c r="AI41">
        <f t="shared" ca="1" si="34"/>
        <v>44.262026435823074</v>
      </c>
    </row>
    <row r="42" spans="1:35">
      <c r="A42" s="1" t="s">
        <v>96</v>
      </c>
      <c r="B42" s="1">
        <f ca="1">SUMPRODUCT(lz/SUM(lz),len,ta1_)</f>
        <v>9.0461853358291648</v>
      </c>
      <c r="J42" s="8" t="s">
        <v>68</v>
      </c>
      <c r="K42">
        <f t="shared" ref="K42:AI42" ca="1" si="35">flt1_*qa1_+lz*wa*flt1_*flt3_/za*(sa-oa/za)</f>
        <v>-1.7128007730892424E-12</v>
      </c>
      <c r="L42">
        <f t="shared" ca="1" si="35"/>
        <v>-6.0990268616549759E-11</v>
      </c>
      <c r="M42">
        <f t="shared" ca="1" si="35"/>
        <v>-1.2628029758112488E-9</v>
      </c>
      <c r="N42">
        <f t="shared" ca="1" si="35"/>
        <v>-1.9564401159551918E-8</v>
      </c>
      <c r="O42">
        <f t="shared" ca="1" si="35"/>
        <v>-2.4710120432743568E-7</v>
      </c>
      <c r="P42">
        <f t="shared" ca="1" si="35"/>
        <v>-2.4663619410131643E-6</v>
      </c>
      <c r="Q42">
        <f t="shared" ca="1" si="35"/>
        <v>-1.801060806254236E-5</v>
      </c>
      <c r="R42">
        <f t="shared" ca="1" si="35"/>
        <v>-1.8628393769223498E-4</v>
      </c>
      <c r="S42">
        <f t="shared" ca="1" si="35"/>
        <v>-4.7544752984412693E-3</v>
      </c>
      <c r="T42">
        <f t="shared" ca="1" si="35"/>
        <v>-1.3948221320479917E-2</v>
      </c>
      <c r="U42">
        <f t="shared" ca="1" si="35"/>
        <v>0.23991078660967591</v>
      </c>
      <c r="V42">
        <f t="shared" ca="1" si="35"/>
        <v>1.7250961945548782</v>
      </c>
      <c r="W42">
        <f t="shared" ca="1" si="35"/>
        <v>5.9319858623312731</v>
      </c>
      <c r="X42">
        <f t="shared" ca="1" si="35"/>
        <v>12.351835199655534</v>
      </c>
      <c r="Y42">
        <f t="shared" ca="1" si="35"/>
        <v>18.494514102160196</v>
      </c>
      <c r="Z42">
        <f t="shared" ca="1" si="35"/>
        <v>23.150993840864366</v>
      </c>
      <c r="AA42">
        <f t="shared" ca="1" si="35"/>
        <v>26.672206691629182</v>
      </c>
      <c r="AB42">
        <f t="shared" ca="1" si="35"/>
        <v>29.545269702644994</v>
      </c>
      <c r="AC42">
        <f t="shared" ca="1" si="35"/>
        <v>32.071898261160207</v>
      </c>
      <c r="AD42">
        <f t="shared" ca="1" si="35"/>
        <v>34.397752890280969</v>
      </c>
      <c r="AE42">
        <f t="shared" ca="1" si="35"/>
        <v>36.586006490570782</v>
      </c>
      <c r="AF42">
        <f t="shared" ca="1" si="35"/>
        <v>38.662340488541481</v>
      </c>
      <c r="AG42">
        <f t="shared" ca="1" si="35"/>
        <v>40.636737913990707</v>
      </c>
      <c r="AH42">
        <f t="shared" ca="1" si="35"/>
        <v>42.51314490940716</v>
      </c>
      <c r="AI42">
        <f t="shared" ca="1" si="35"/>
        <v>44.049461575209172</v>
      </c>
    </row>
    <row r="43" spans="1:35">
      <c r="A43" s="1"/>
      <c r="B43" s="1"/>
      <c r="J43" s="8" t="s">
        <v>61</v>
      </c>
      <c r="K43">
        <f t="shared" ref="K43:AI43" ca="1" si="36">flt1_*qa1_+lz*wa*flt2_*flt3_/za*(sa-oa/za)</f>
        <v>-4.5921805867835327E-9</v>
      </c>
      <c r="L43">
        <f t="shared" ca="1" si="36"/>
        <v>-7.7850146626723822E-7</v>
      </c>
      <c r="M43">
        <f t="shared" ca="1" si="36"/>
        <v>-4.1277823288728862E-5</v>
      </c>
      <c r="N43">
        <f t="shared" ca="1" si="36"/>
        <v>-3.8836309845090674E-4</v>
      </c>
      <c r="O43">
        <f t="shared" ca="1" si="36"/>
        <v>-1.8114467051656852E-3</v>
      </c>
      <c r="P43">
        <f t="shared" ca="1" si="36"/>
        <v>-6.48624119181103E-3</v>
      </c>
      <c r="Q43">
        <f t="shared" ca="1" si="36"/>
        <v>-1.7348800100787515E-2</v>
      </c>
      <c r="R43">
        <f t="shared" ca="1" si="36"/>
        <v>-5.4620150045894447E-2</v>
      </c>
      <c r="S43">
        <f t="shared" ca="1" si="36"/>
        <v>-0.25177212639624025</v>
      </c>
      <c r="T43">
        <f t="shared" ca="1" si="36"/>
        <v>-0.44176678776382061</v>
      </c>
      <c r="U43">
        <f t="shared" ca="1" si="36"/>
        <v>-5.6097761792974321E-2</v>
      </c>
      <c r="V43">
        <f t="shared" ca="1" si="36"/>
        <v>1.664291447362106</v>
      </c>
      <c r="W43">
        <f t="shared" ca="1" si="36"/>
        <v>6.0833214121084715</v>
      </c>
      <c r="X43">
        <f t="shared" ca="1" si="36"/>
        <v>12.614033113552622</v>
      </c>
      <c r="Y43">
        <f t="shared" ca="1" si="36"/>
        <v>18.771423735446533</v>
      </c>
      <c r="Z43">
        <f t="shared" ca="1" si="36"/>
        <v>23.412070950154696</v>
      </c>
      <c r="AA43">
        <f t="shared" ca="1" si="36"/>
        <v>26.901837916083828</v>
      </c>
      <c r="AB43">
        <f t="shared" ca="1" si="36"/>
        <v>29.740741555732896</v>
      </c>
      <c r="AC43">
        <f t="shared" ca="1" si="36"/>
        <v>32.235448870475636</v>
      </c>
      <c r="AD43">
        <f t="shared" ca="1" si="36"/>
        <v>34.533151275737666</v>
      </c>
      <c r="AE43">
        <f t="shared" ca="1" si="36"/>
        <v>36.697251898900049</v>
      </c>
      <c r="AF43">
        <f t="shared" ca="1" si="36"/>
        <v>38.753191820022259</v>
      </c>
      <c r="AG43">
        <f t="shared" ca="1" si="36"/>
        <v>40.710556043493341</v>
      </c>
      <c r="AH43">
        <f t="shared" ca="1" si="36"/>
        <v>42.57285612119518</v>
      </c>
      <c r="AI43">
        <f t="shared" ca="1" si="36"/>
        <v>44.262026435823074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0.45000000000005042</v>
      </c>
      <c r="G46" s="32" t="s">
        <v>143</v>
      </c>
      <c r="H46" s="32"/>
      <c r="I46" s="32"/>
      <c r="J46" s="8" t="s">
        <v>75</v>
      </c>
      <c r="K46">
        <f t="shared" ref="K46:AI46" ca="1" si="37">lz*qa1_</f>
        <v>2.0955965137557079E-7</v>
      </c>
      <c r="L46">
        <f t="shared" ca="1" si="37"/>
        <v>1.9709142949833286E-6</v>
      </c>
      <c r="M46">
        <f t="shared" ca="1" si="37"/>
        <v>1.096247858013733E-5</v>
      </c>
      <c r="N46">
        <f t="shared" ca="1" si="37"/>
        <v>4.6569255125111176E-5</v>
      </c>
      <c r="O46">
        <f t="shared" ca="1" si="37"/>
        <v>1.6863046221984491E-4</v>
      </c>
      <c r="P46">
        <f t="shared" ca="1" si="37"/>
        <v>5.5158955401992749E-4</v>
      </c>
      <c r="Q46">
        <f t="shared" ca="1" si="37"/>
        <v>1.7084918278030469E-3</v>
      </c>
      <c r="R46">
        <f t="shared" ca="1" si="37"/>
        <v>6.0605898562017743E-3</v>
      </c>
      <c r="S46">
        <f t="shared" ca="1" si="37"/>
        <v>3.7024716140414644E-2</v>
      </c>
      <c r="T46">
        <f t="shared" ca="1" si="37"/>
        <v>0.17309813612842112</v>
      </c>
      <c r="U46">
        <f t="shared" ca="1" si="37"/>
        <v>0.4483757853452735</v>
      </c>
      <c r="V46">
        <f t="shared" ca="1" si="37"/>
        <v>0.87935590643963035</v>
      </c>
      <c r="W46">
        <f t="shared" ca="1" si="37"/>
        <v>1.3447105761659079</v>
      </c>
      <c r="X46">
        <f t="shared" ca="1" si="37"/>
        <v>1.6134820717033092</v>
      </c>
      <c r="Y46">
        <f t="shared" ca="1" si="37"/>
        <v>1.6255195815257792</v>
      </c>
      <c r="Z46">
        <f t="shared" ca="1" si="37"/>
        <v>1.4844810161286082</v>
      </c>
      <c r="AA46">
        <f t="shared" ca="1" si="37"/>
        <v>1.289963254592384</v>
      </c>
      <c r="AB46">
        <f t="shared" ca="1" si="37"/>
        <v>1.0929548522799286</v>
      </c>
      <c r="AC46">
        <f t="shared" ca="1" si="37"/>
        <v>0.91281717716576194</v>
      </c>
      <c r="AD46">
        <f t="shared" ca="1" si="37"/>
        <v>0.75516225132924508</v>
      </c>
      <c r="AE46">
        <f t="shared" ca="1" si="37"/>
        <v>0.62028504718668853</v>
      </c>
      <c r="AF46">
        <f t="shared" ca="1" si="37"/>
        <v>0.50651916494595794</v>
      </c>
      <c r="AG46">
        <f t="shared" ca="1" si="37"/>
        <v>0.41153939068185569</v>
      </c>
      <c r="AH46">
        <f t="shared" ca="1" si="37"/>
        <v>0.33288875376308369</v>
      </c>
      <c r="AI46">
        <f t="shared" ca="1" si="37"/>
        <v>1.1850424078449726</v>
      </c>
    </row>
    <row r="47" spans="1:35" ht="19" thickTop="1">
      <c r="A47" s="1" t="s">
        <v>41</v>
      </c>
      <c r="B47" s="11">
        <f ca="1">MAX(0,Ro*(reck-1/spr)/(reck-1))</f>
        <v>20689.028136548644</v>
      </c>
      <c r="F47" t="s">
        <v>84</v>
      </c>
      <c r="G47" s="31">
        <f ca="1">G39/G53</f>
        <v>1</v>
      </c>
      <c r="H47" s="31">
        <f ca="1">H53/H39</f>
        <v>0.91000504782951086</v>
      </c>
      <c r="I47" s="31">
        <f ca="1">I53/I39</f>
        <v>0.91577428375958225</v>
      </c>
      <c r="J47" s="8" t="s">
        <v>76</v>
      </c>
      <c r="K47">
        <f t="shared" ref="K47:AI47" ca="1" si="38">lz*qa2_</f>
        <v>4.1852395960163905E-4</v>
      </c>
      <c r="L47">
        <f t="shared" ca="1" si="38"/>
        <v>1.9812820858739942E-2</v>
      </c>
      <c r="M47">
        <f t="shared" ca="1" si="38"/>
        <v>0.29457349005679273</v>
      </c>
      <c r="N47">
        <f t="shared" ca="1" si="38"/>
        <v>0.78379296129376541</v>
      </c>
      <c r="O47">
        <f t="shared" ca="1" si="38"/>
        <v>1.0686153106663769</v>
      </c>
      <c r="P47">
        <f t="shared" ca="1" si="38"/>
        <v>1.254180868237065</v>
      </c>
      <c r="Q47">
        <f t="shared" ca="1" si="38"/>
        <v>1.3650164418374506</v>
      </c>
      <c r="R47">
        <f t="shared" ca="1" si="38"/>
        <v>1.4069727268993428</v>
      </c>
      <c r="S47">
        <f t="shared" ca="1" si="38"/>
        <v>1.3858567948535923</v>
      </c>
      <c r="T47">
        <f t="shared" ca="1" si="38"/>
        <v>1.3079674314788614</v>
      </c>
      <c r="U47">
        <f t="shared" ca="1" si="38"/>
        <v>1.1885907154527391</v>
      </c>
      <c r="V47">
        <f t="shared" ca="1" si="38"/>
        <v>1.0446121615364621</v>
      </c>
      <c r="W47">
        <f t="shared" ca="1" si="38"/>
        <v>0.88763584151722641</v>
      </c>
      <c r="X47">
        <f t="shared" ca="1" si="38"/>
        <v>0.7307461957517456</v>
      </c>
      <c r="Y47">
        <f t="shared" ca="1" si="38"/>
        <v>0.5868221565115973</v>
      </c>
      <c r="Z47">
        <f t="shared" ca="1" si="38"/>
        <v>0.50435722238178871</v>
      </c>
      <c r="AA47">
        <f t="shared" ca="1" si="38"/>
        <v>0.427587770760054</v>
      </c>
      <c r="AB47">
        <f t="shared" ca="1" si="38"/>
        <v>0.35875969067426872</v>
      </c>
      <c r="AC47">
        <f t="shared" ca="1" si="38"/>
        <v>0.29848417278052514</v>
      </c>
      <c r="AD47">
        <f t="shared" ca="1" si="38"/>
        <v>0.24656420331917117</v>
      </c>
      <c r="AE47">
        <f t="shared" ca="1" si="38"/>
        <v>0.2024094792983179</v>
      </c>
      <c r="AF47">
        <f t="shared" ca="1" si="38"/>
        <v>0.16524958249985416</v>
      </c>
      <c r="AG47">
        <f t="shared" ca="1" si="38"/>
        <v>0.134252186257135</v>
      </c>
      <c r="AH47">
        <f t="shared" ca="1" si="38"/>
        <v>0.10859207702251786</v>
      </c>
      <c r="AI47">
        <f t="shared" ca="1" si="38"/>
        <v>0.3865726863605225</v>
      </c>
    </row>
    <row r="48" spans="1:35">
      <c r="A48" s="1" t="s">
        <v>43</v>
      </c>
      <c r="B48" s="1">
        <f ca="1">f1_*re*phi_q1</f>
        <v>25843.819070746504</v>
      </c>
      <c r="C48" s="20">
        <f ca="1">ye_1/SUM(ye_1,ye_2,ye_3)</f>
        <v>0.60367371601208453</v>
      </c>
      <c r="F48" t="s">
        <v>85</v>
      </c>
      <c r="G48" s="31">
        <f ca="1">G40/G54</f>
        <v>1.098895003258652</v>
      </c>
      <c r="H48" s="31">
        <f t="shared" ref="H48:I49" ca="1" si="39">H40/H54</f>
        <v>1</v>
      </c>
      <c r="I48" s="31">
        <f ca="1">I54/I40</f>
        <v>2.137263861501205</v>
      </c>
      <c r="J48" s="8" t="s">
        <v>77</v>
      </c>
      <c r="K48">
        <f t="shared" ref="K48:AI48" ca="1" si="40">lz*qa3_</f>
        <v>1.6845190805918299E-6</v>
      </c>
      <c r="L48">
        <f t="shared" ca="1" si="40"/>
        <v>2.2119385489527343E-5</v>
      </c>
      <c r="M48">
        <f t="shared" ca="1" si="40"/>
        <v>1.7138335317277642E-4</v>
      </c>
      <c r="N48">
        <f t="shared" ca="1" si="40"/>
        <v>1.005103205065183E-3</v>
      </c>
      <c r="O48">
        <f t="shared" ca="1" si="40"/>
        <v>4.8545522282533032E-3</v>
      </c>
      <c r="P48">
        <f t="shared" ca="1" si="40"/>
        <v>1.887450573468304E-2</v>
      </c>
      <c r="Q48">
        <f t="shared" ca="1" si="40"/>
        <v>5.5003509002424886E-2</v>
      </c>
      <c r="R48">
        <f t="shared" ca="1" si="40"/>
        <v>0.18885056177631149</v>
      </c>
      <c r="S48">
        <f t="shared" ca="1" si="40"/>
        <v>0.95651514032597995</v>
      </c>
      <c r="T48">
        <f t="shared" ca="1" si="40"/>
        <v>2.0294371600316694</v>
      </c>
      <c r="U48">
        <f t="shared" ca="1" si="40"/>
        <v>2.1354132631891933</v>
      </c>
      <c r="V48">
        <f t="shared" ca="1" si="40"/>
        <v>1.8861252537619626</v>
      </c>
      <c r="W48">
        <f t="shared" ca="1" si="40"/>
        <v>1.5763952557032745</v>
      </c>
      <c r="X48">
        <f t="shared" ca="1" si="40"/>
        <v>1.2719978648815746</v>
      </c>
      <c r="Y48">
        <f t="shared" ca="1" si="40"/>
        <v>1.0005379305352269</v>
      </c>
      <c r="Z48">
        <f t="shared" ca="1" si="40"/>
        <v>0.85993435307924848</v>
      </c>
      <c r="AA48">
        <f t="shared" ca="1" si="40"/>
        <v>0.72904163302494585</v>
      </c>
      <c r="AB48">
        <f t="shared" ca="1" si="40"/>
        <v>0.61168903471625646</v>
      </c>
      <c r="AC48">
        <f t="shared" ca="1" si="40"/>
        <v>0.5089186446310392</v>
      </c>
      <c r="AD48">
        <f t="shared" ca="1" si="40"/>
        <v>0.42039455224311206</v>
      </c>
      <c r="AE48">
        <f t="shared" ca="1" si="40"/>
        <v>0.34511028476111988</v>
      </c>
      <c r="AF48">
        <f t="shared" ca="1" si="40"/>
        <v>0.28175227104422856</v>
      </c>
      <c r="AG48">
        <f t="shared" ca="1" si="40"/>
        <v>0.22890138539765412</v>
      </c>
      <c r="AH48">
        <f t="shared" ca="1" si="40"/>
        <v>0.18515063006910293</v>
      </c>
      <c r="AI48">
        <f t="shared" ca="1" si="40"/>
        <v>0.65911048402099059</v>
      </c>
    </row>
    <row r="49" spans="1:47">
      <c r="A49" s="1" t="s">
        <v>44</v>
      </c>
      <c r="B49" s="1">
        <f ca="1">f2_*re*phi_q2</f>
        <v>9638.2741980223254</v>
      </c>
      <c r="C49" s="20">
        <f ca="1">ye_2/SUM(ye_1,ye_2,ye_3)</f>
        <v>0.22513595166163133</v>
      </c>
      <c r="F49" t="s">
        <v>86</v>
      </c>
      <c r="G49" s="31">
        <f ca="1">G41/G55</f>
        <v>1.0919721352019638</v>
      </c>
      <c r="H49" s="31">
        <f t="shared" ca="1" si="39"/>
        <v>0.46788794683385715</v>
      </c>
      <c r="I49" s="31">
        <f t="shared" ca="1" si="39"/>
        <v>1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7328.8133273850945</v>
      </c>
      <c r="C50" s="20">
        <f ca="1">ye_3/SUM(ye_1,ye_2,ye_3)</f>
        <v>0.17119033232628397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42810.906596153931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978.9432562253761</v>
      </c>
      <c r="H52" s="57">
        <f ca="1">H40^0.5</f>
        <v>597.49844702041298</v>
      </c>
      <c r="I52" s="11">
        <f ca="1">I41^0.5</f>
        <v>609.99236322488412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1.2491557795840373</v>
      </c>
      <c r="C53">
        <f ca="1">AVERAGE(B53:B55)/B53</f>
        <v>0.55217466736063847</v>
      </c>
      <c r="G53">
        <f ca="1">G$52*$J53</f>
        <v>958329.89890914236</v>
      </c>
      <c r="H53">
        <f t="shared" ref="G53:I55" ca="1" si="41">H$52*$J53</f>
        <v>584917.07531576848</v>
      </c>
      <c r="I53">
        <f t="shared" ca="1" si="41"/>
        <v>597147.91032798041</v>
      </c>
      <c r="J53">
        <f t="array" aca="1" ref="J53:J55" ca="1">TRANSPOSE(G52:I52)</f>
        <v>978.9432562253761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0.4658640383883294</v>
      </c>
      <c r="C54">
        <f ca="1">AVERAGE(B53:B55)/B54</f>
        <v>1.4805868670602975</v>
      </c>
      <c r="G54">
        <f t="shared" ca="1" si="41"/>
        <v>584917.07531576848</v>
      </c>
      <c r="H54">
        <f t="shared" ca="1" si="41"/>
        <v>357004.39419180527</v>
      </c>
      <c r="I54">
        <f ca="1">I$52*$J54</f>
        <v>364469.48972117994</v>
      </c>
      <c r="J54">
        <f ca="1"/>
        <v>597.49844702041298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0.3542367132479376</v>
      </c>
      <c r="C55">
        <f ca="1">AVERAGE(B53:B55)/B55</f>
        <v>1.9471504541390181</v>
      </c>
      <c r="G55">
        <f t="shared" ca="1" si="41"/>
        <v>597147.91032798041</v>
      </c>
      <c r="H55">
        <f t="shared" ca="1" si="41"/>
        <v>364469.48972117994</v>
      </c>
      <c r="I55">
        <f t="shared" ca="1" si="41"/>
        <v>372090.68319267896</v>
      </c>
      <c r="J55">
        <f ca="1"/>
        <v>609.99236322488412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4.4667269323867491E-2</v>
      </c>
      <c r="C56">
        <f ca="1">AVERAGE(B56:B58)/B56</f>
        <v>1.0015609311013745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7.0997565769385526E-2</v>
      </c>
      <c r="C57">
        <f ca="1">AVERAGE(B56:B58)/B57</f>
        <v>0.63012008044167866</v>
      </c>
      <c r="I57"/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1.8546140468052731E-2</v>
      </c>
      <c r="C58">
        <f ca="1">AVERAGE(B56:B58)/B58</f>
        <v>2.4121995587616607</v>
      </c>
      <c r="I58"/>
      <c r="AL58" s="31"/>
      <c r="AM58" s="31"/>
      <c r="AN58" s="31"/>
      <c r="AO58" s="31"/>
      <c r="AP58" s="31"/>
    </row>
    <row r="59" spans="1:47">
      <c r="I59"/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27.965796846160998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6.5616902965596058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19.10029279990302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'Status Quo'!K6:AI6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'Status Quo'!K18:AI18</xm:f>
              <xm:sqref>J18</xm:sqref>
            </x14:sparkline>
            <x14:sparkline>
              <xm:f>'Status Quo'!K19:AI19</xm:f>
              <xm:sqref>J19</xm:sqref>
            </x14:sparkline>
            <x14:sparkline>
              <xm:f>'Status Quo'!K20:AI20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'Status Quo'!K46:AI46</xm:f>
              <xm:sqref>J46</xm:sqref>
            </x14:sparkline>
            <x14:sparkline>
              <xm:f>'Status Quo'!K47:AI47</xm:f>
              <xm:sqref>J47</xm:sqref>
            </x14:sparkline>
            <x14:sparkline>
              <xm:f>'Status Quo'!K48:AI48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'Status Quo'!K35:AI35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G47" sqref="G47:I49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0.60367371601208453</v>
      </c>
      <c r="E4" s="47">
        <v>24977</v>
      </c>
      <c r="F4" s="47">
        <f ca="1">ye_1</f>
        <v>22185.133991994633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0.22513595166163142</v>
      </c>
      <c r="E5" s="47">
        <v>9315</v>
      </c>
      <c r="F5" s="47">
        <f ca="1">ye_2</f>
        <v>8273.7928148068222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0.17119033232628403</v>
      </c>
      <c r="E6" s="47">
        <v>7083</v>
      </c>
      <c r="F6" s="47">
        <f ca="1">ye_3</f>
        <v>6291.2801403410349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0.29066549607270942</v>
      </c>
      <c r="J7" t="s">
        <v>7</v>
      </c>
      <c r="K7" s="1">
        <f>1</f>
        <v>1</v>
      </c>
      <c r="L7" s="1">
        <f ca="1">K7*EXP(-K8)</f>
        <v>0.8598955710454016</v>
      </c>
      <c r="M7" s="1">
        <f t="shared" ref="M7:AH7" ca="1" si="4">L7*EXP(-L8)</f>
        <v>0.7326637657527858</v>
      </c>
      <c r="N7" s="1">
        <f t="shared" ca="1" si="4"/>
        <v>0.59527087613325602</v>
      </c>
      <c r="O7" s="1">
        <f t="shared" ca="1" si="4"/>
        <v>0.47438517870568847</v>
      </c>
      <c r="P7" s="1">
        <f t="shared" ca="1" si="4"/>
        <v>0.38380994004042529</v>
      </c>
      <c r="Q7" s="1">
        <f t="shared" ca="1" si="4"/>
        <v>0.31482851345134416</v>
      </c>
      <c r="R7" s="1">
        <f t="shared" ca="1" si="4"/>
        <v>0.25794852081369674</v>
      </c>
      <c r="S7" s="1">
        <f t="shared" ca="1" si="4"/>
        <v>0.21082003078127828</v>
      </c>
      <c r="T7" s="1">
        <f t="shared" ca="1" si="4"/>
        <v>0.17275302371758272</v>
      </c>
      <c r="U7" s="1">
        <f t="shared" ca="1" si="4"/>
        <v>0.14160907609836082</v>
      </c>
      <c r="V7" s="1">
        <f t="shared" ca="1" si="4"/>
        <v>0.11522138309293593</v>
      </c>
      <c r="W7" s="1">
        <f t="shared" ca="1" si="4"/>
        <v>9.2002116389942781E-2</v>
      </c>
      <c r="X7" s="1">
        <f t="shared" ca="1" si="4"/>
        <v>7.1540028340250902E-2</v>
      </c>
      <c r="Y7" s="1">
        <f t="shared" ca="1" si="4"/>
        <v>5.4371756146439132E-2</v>
      </c>
      <c r="Z7" s="1">
        <f t="shared" ca="1" si="4"/>
        <v>4.079275850306649E-2</v>
      </c>
      <c r="AA7" s="1">
        <f t="shared" ca="1" si="4"/>
        <v>3.0376571826774293E-2</v>
      </c>
      <c r="AB7" s="1">
        <f t="shared" ca="1" si="4"/>
        <v>2.254828216123269E-2</v>
      </c>
      <c r="AC7" s="1">
        <f t="shared" ca="1" si="4"/>
        <v>1.671596112164507E-2</v>
      </c>
      <c r="AD7" s="1">
        <f t="shared" ca="1" si="4"/>
        <v>1.2385957099309671E-2</v>
      </c>
      <c r="AE7" s="1">
        <f t="shared" ca="1" si="4"/>
        <v>9.1757599600800106E-3</v>
      </c>
      <c r="AF7" s="1">
        <f t="shared" ca="1" si="4"/>
        <v>6.7970639960132787E-3</v>
      </c>
      <c r="AG7" s="1">
        <f t="shared" ca="1" si="4"/>
        <v>5.0348678257860595E-3</v>
      </c>
      <c r="AH7" s="1">
        <f t="shared" ca="1" si="4"/>
        <v>3.7294965586005357E-3</v>
      </c>
      <c r="AI7" s="1">
        <f ca="1">AH7*EXP(-AH8)/(1-EXP(-AI8))</f>
        <v>1.0655163487855189E-2</v>
      </c>
    </row>
    <row r="8" spans="1:35">
      <c r="A8" s="5"/>
      <c r="B8" s="26"/>
      <c r="C8" s="26"/>
      <c r="E8" t="s">
        <v>111</v>
      </c>
      <c r="F8">
        <f ca="1">SUMXMY2(E4:E6,F4:F6)</f>
        <v>9505448.5453321338</v>
      </c>
      <c r="J8" t="s">
        <v>11</v>
      </c>
      <c r="K8" s="1">
        <f ca="1">M+f1_*flt1_ +f2_*flt2_ +f3_*flt3_</f>
        <v>0.15094432612465844</v>
      </c>
      <c r="L8" s="1">
        <f t="shared" ref="L8:AI8" ca="1" si="5">M+f1_*flt1_ +f2_*flt2_ +f3_*flt3_</f>
        <v>0.16012406596096213</v>
      </c>
      <c r="M8" s="1">
        <f t="shared" ca="1" si="5"/>
        <v>0.20767033094207846</v>
      </c>
      <c r="N8" s="1">
        <f t="shared" ca="1" si="5"/>
        <v>0.22699695094765332</v>
      </c>
      <c r="O8" s="1">
        <f t="shared" ca="1" si="5"/>
        <v>0.21187212275754971</v>
      </c>
      <c r="P8" s="1">
        <f t="shared" ca="1" si="5"/>
        <v>0.19811939340579876</v>
      </c>
      <c r="Q8" s="1">
        <f t="shared" ca="1" si="5"/>
        <v>0.19926805556078034</v>
      </c>
      <c r="R8" s="1">
        <f t="shared" ca="1" si="5"/>
        <v>0.20175519844823184</v>
      </c>
      <c r="S8" s="1">
        <f t="shared" ca="1" si="5"/>
        <v>0.19914186890953728</v>
      </c>
      <c r="T8" s="1">
        <f t="shared" ca="1" si="5"/>
        <v>0.19879268997953931</v>
      </c>
      <c r="U8" s="1">
        <f t="shared" ca="1" si="5"/>
        <v>0.20621492778210387</v>
      </c>
      <c r="V8" s="1">
        <f t="shared" ca="1" si="5"/>
        <v>0.22504376714028812</v>
      </c>
      <c r="W8" s="1">
        <f t="shared" ca="1" si="5"/>
        <v>0.25155445104663665</v>
      </c>
      <c r="X8" s="1">
        <f t="shared" ca="1" si="5"/>
        <v>0.27441229942400625</v>
      </c>
      <c r="Y8" s="1">
        <f t="shared" ca="1" si="5"/>
        <v>0.28734025256493595</v>
      </c>
      <c r="Z8" s="1">
        <f t="shared" ca="1" si="5"/>
        <v>0.29483293028199775</v>
      </c>
      <c r="AA8" s="1">
        <f t="shared" ca="1" si="5"/>
        <v>0.29801276376122976</v>
      </c>
      <c r="AB8" s="1">
        <f t="shared" ca="1" si="5"/>
        <v>0.29929486517806236</v>
      </c>
      <c r="AC8" s="1">
        <f t="shared" ca="1" si="5"/>
        <v>0.29980067989987208</v>
      </c>
      <c r="AD8" s="1">
        <f t="shared" ca="1" si="5"/>
        <v>0.29999811891923517</v>
      </c>
      <c r="AE8" s="1">
        <f t="shared" ca="1" si="5"/>
        <v>0.30007446629455531</v>
      </c>
      <c r="AF8" s="1">
        <f t="shared" ca="1" si="5"/>
        <v>0.30010347891165551</v>
      </c>
      <c r="AG8" s="1">
        <f t="shared" ca="1" si="5"/>
        <v>0.3001140210790082</v>
      </c>
      <c r="AH8" s="1">
        <f t="shared" ca="1" si="5"/>
        <v>0.30011736088827773</v>
      </c>
      <c r="AI8" s="1">
        <f t="shared" ca="1" si="5"/>
        <v>0.30011789297383601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0.8598955710454016</v>
      </c>
      <c r="L10" s="1">
        <f t="shared" ca="1" si="6"/>
        <v>0.85203807348613725</v>
      </c>
      <c r="M10" s="1">
        <f t="shared" ca="1" si="6"/>
        <v>0.81247484038143536</v>
      </c>
      <c r="N10" s="1">
        <f t="shared" ca="1" si="6"/>
        <v>0.79692321214702544</v>
      </c>
      <c r="O10" s="1">
        <f t="shared" ca="1" si="6"/>
        <v>0.80906815235587992</v>
      </c>
      <c r="P10" s="1">
        <f t="shared" ca="1" si="6"/>
        <v>0.8202719122339156</v>
      </c>
      <c r="Q10" s="1">
        <f t="shared" ca="1" si="6"/>
        <v>0.81933023786793047</v>
      </c>
      <c r="R10" s="1">
        <f t="shared" ca="1" si="6"/>
        <v>0.81729497853388744</v>
      </c>
      <c r="S10" s="1">
        <f t="shared" ca="1" si="6"/>
        <v>0.81943363293031035</v>
      </c>
      <c r="T10" s="1">
        <f t="shared" ca="1" si="6"/>
        <v>0.81971981185037812</v>
      </c>
      <c r="U10" s="1">
        <f t="shared" ca="1" si="6"/>
        <v>0.81365817974056864</v>
      </c>
      <c r="V10" s="1">
        <f t="shared" ca="1" si="6"/>
        <v>0.79848127075280095</v>
      </c>
      <c r="W10" s="1">
        <f t="shared" ca="1" si="6"/>
        <v>0.77759111580688922</v>
      </c>
      <c r="X10" s="1">
        <f t="shared" ca="1" si="6"/>
        <v>0.76001865540005242</v>
      </c>
      <c r="Y10" s="1">
        <f t="shared" ca="1" si="6"/>
        <v>0.75025640873543964</v>
      </c>
      <c r="Z10" s="1">
        <f t="shared" ca="1" si="6"/>
        <v>0.74465598653964082</v>
      </c>
      <c r="AA10" s="1">
        <f t="shared" ca="1" si="6"/>
        <v>0.74229186525117852</v>
      </c>
      <c r="AB10" s="1">
        <f t="shared" ca="1" si="6"/>
        <v>0.74134078162215222</v>
      </c>
      <c r="AC10" s="1">
        <f t="shared" ca="1" si="6"/>
        <v>0.74096589536041768</v>
      </c>
      <c r="AD10" s="1">
        <f t="shared" ca="1" si="6"/>
        <v>0.74081961422193365</v>
      </c>
      <c r="AE10" s="1">
        <f t="shared" ca="1" si="6"/>
        <v>0.74076305674783705</v>
      </c>
      <c r="AF10" s="1">
        <f t="shared" ca="1" si="6"/>
        <v>0.74074156558466853</v>
      </c>
      <c r="AG10" s="1">
        <f t="shared" ca="1" si="6"/>
        <v>0.74073375660428098</v>
      </c>
      <c r="AH10" s="1">
        <f t="shared" ca="1" si="6"/>
        <v>0.74073128269894561</v>
      </c>
      <c r="AI10" s="1">
        <f t="shared" ca="1" si="6"/>
        <v>0.74073088856663227</v>
      </c>
    </row>
    <row r="11" spans="1:35">
      <c r="A11" s="5">
        <v>1</v>
      </c>
      <c r="B11" s="25">
        <f>'Status Quo'!B11</f>
        <v>0.33281383386907948</v>
      </c>
      <c r="C11" s="18">
        <f ca="1">mpr1_/SUM(mpr1_,mpr2_,mpr3_)</f>
        <v>0.20363299727562001</v>
      </c>
      <c r="J11" t="s">
        <v>56</v>
      </c>
      <c r="K11" s="1">
        <f ca="1">1-sa</f>
        <v>0.1401044289545984</v>
      </c>
      <c r="L11" s="1">
        <f t="shared" ref="L11:AI11" ca="1" si="7">1-sa</f>
        <v>0.14796192651386275</v>
      </c>
      <c r="M11" s="1">
        <f t="shared" ca="1" si="7"/>
        <v>0.18752515961856464</v>
      </c>
      <c r="N11" s="1">
        <f t="shared" ca="1" si="7"/>
        <v>0.20307678785297456</v>
      </c>
      <c r="O11" s="1">
        <f t="shared" ca="1" si="7"/>
        <v>0.19093184764412008</v>
      </c>
      <c r="P11" s="1">
        <f t="shared" ca="1" si="7"/>
        <v>0.1797280877660844</v>
      </c>
      <c r="Q11" s="1">
        <f t="shared" ca="1" si="7"/>
        <v>0.18066976213206953</v>
      </c>
      <c r="R11" s="1">
        <f t="shared" ca="1" si="7"/>
        <v>0.18270502146611256</v>
      </c>
      <c r="S11" s="1">
        <f t="shared" ca="1" si="7"/>
        <v>0.18056636706968965</v>
      </c>
      <c r="T11" s="1">
        <f t="shared" ca="1" si="7"/>
        <v>0.18028018814962188</v>
      </c>
      <c r="U11" s="1">
        <f t="shared" ca="1" si="7"/>
        <v>0.18634182025943136</v>
      </c>
      <c r="V11" s="1">
        <f t="shared" ca="1" si="7"/>
        <v>0.20151872924719905</v>
      </c>
      <c r="W11" s="1">
        <f t="shared" ca="1" si="7"/>
        <v>0.22240888419311078</v>
      </c>
      <c r="X11" s="1">
        <f t="shared" ca="1" si="7"/>
        <v>0.23998134459994758</v>
      </c>
      <c r="Y11" s="1">
        <f t="shared" ca="1" si="7"/>
        <v>0.24974359126456036</v>
      </c>
      <c r="Z11" s="1">
        <f t="shared" ca="1" si="7"/>
        <v>0.25534401346035918</v>
      </c>
      <c r="AA11" s="1">
        <f t="shared" ca="1" si="7"/>
        <v>0.25770813474882148</v>
      </c>
      <c r="AB11" s="1">
        <f t="shared" ca="1" si="7"/>
        <v>0.25865921837784778</v>
      </c>
      <c r="AC11" s="1">
        <f t="shared" ca="1" si="7"/>
        <v>0.25903410463958232</v>
      </c>
      <c r="AD11" s="1">
        <f t="shared" ca="1" si="7"/>
        <v>0.25918038577806635</v>
      </c>
      <c r="AE11" s="1">
        <f t="shared" ca="1" si="7"/>
        <v>0.25923694325216295</v>
      </c>
      <c r="AF11" s="1">
        <f t="shared" ca="1" si="7"/>
        <v>0.25925843441533147</v>
      </c>
      <c r="AG11" s="1">
        <f t="shared" ca="1" si="7"/>
        <v>0.25926624339571902</v>
      </c>
      <c r="AH11" s="1">
        <f t="shared" ca="1" si="7"/>
        <v>0.25926871730105439</v>
      </c>
      <c r="AI11" s="1">
        <f t="shared" ca="1" si="7"/>
        <v>0.25926911143336773</v>
      </c>
    </row>
    <row r="12" spans="1:35">
      <c r="A12" s="5">
        <v>2</v>
      </c>
      <c r="B12" s="25">
        <f>'Status Quo'!B12</f>
        <v>0.52899969970753113</v>
      </c>
      <c r="C12" s="18">
        <f ca="1">mpr2_/SUM(mpr1_,mpr2_,mpr3_)</f>
        <v>0.68157873728163154</v>
      </c>
      <c r="J12" t="s">
        <v>100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5">
        <f>1-SUM(B11:B12)</f>
        <v>0.13818646642338939</v>
      </c>
      <c r="C13" s="18">
        <f ca="1">mpr3_/SUM(mpr1_,mpr2_,mpr3_)</f>
        <v>0.11478826544274839</v>
      </c>
      <c r="J13" t="s">
        <v>101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7" t="s">
        <v>49</v>
      </c>
      <c r="B14" s="30">
        <v>0.4</v>
      </c>
      <c r="C14" s="29">
        <f ca="1">spr</f>
        <v>0.29066549607270942</v>
      </c>
      <c r="J14" t="s">
        <v>102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6" t="s">
        <v>50</v>
      </c>
      <c r="C15" s="26">
        <f ca="1">CHOOSE(C25,SUMXMY2(B14,C14),SUMXMY2(B7,C7))</f>
        <v>1.1954033749026725E-2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7">
        <v>1000000</v>
      </c>
      <c r="E18">
        <v>82</v>
      </c>
      <c r="F18" s="31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103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Selectivities!A14</f>
        <v>2.9399479121449108</v>
      </c>
      <c r="H19" s="3">
        <f>Selectivities!B14</f>
        <v>0.36842659880385265</v>
      </c>
      <c r="I19" s="7">
        <v>0.1</v>
      </c>
      <c r="J19" s="8" t="s">
        <v>104</v>
      </c>
      <c r="K19" s="4">
        <f t="shared" si="12"/>
        <v>9.636875011723646E-3</v>
      </c>
      <c r="L19" s="4">
        <f t="shared" si="12"/>
        <v>0.10338686902535378</v>
      </c>
      <c r="M19" s="4">
        <f t="shared" si="12"/>
        <v>0.589001485167303</v>
      </c>
      <c r="N19" s="4">
        <f t="shared" si="12"/>
        <v>0.78620176980219625</v>
      </c>
      <c r="O19" s="4">
        <f t="shared" si="12"/>
        <v>0.63095504027275773</v>
      </c>
      <c r="P19" s="4">
        <f t="shared" ref="P19:Y19" si="14">((EXP(g*(ah-age)/gh)/(1+EXP((ah-age)/gh))) *(1/(1-g))*((1-g)/g)^g) *(sr_2+(1-sr_2)*dmr)</f>
        <v>0.48244868920073086</v>
      </c>
      <c r="Q19" s="4">
        <f t="shared" si="14"/>
        <v>0.36785203592790405</v>
      </c>
      <c r="R19" s="4">
        <f t="shared" si="14"/>
        <v>0.28041526174778192</v>
      </c>
      <c r="S19" s="4">
        <f t="shared" si="14"/>
        <v>0.21375876430078386</v>
      </c>
      <c r="T19" s="4">
        <f t="shared" si="14"/>
        <v>0.16294678762579537</v>
      </c>
      <c r="U19" s="4">
        <f t="shared" si="14"/>
        <v>0.12421317095808988</v>
      </c>
      <c r="V19" s="4">
        <f t="shared" si="14"/>
        <v>9.468681156724619E-2</v>
      </c>
      <c r="W19" s="4">
        <f t="shared" si="14"/>
        <v>7.2179079023195716E-2</v>
      </c>
      <c r="X19" s="4">
        <f t="shared" si="14"/>
        <v>5.5021595534920462E-2</v>
      </c>
      <c r="Y19" s="113">
        <f t="shared" si="14"/>
        <v>4.1942568624929691E-2</v>
      </c>
      <c r="Z19" s="4">
        <f>Y19</f>
        <v>4.1942568624929691E-2</v>
      </c>
      <c r="AA19" s="4">
        <f t="shared" ref="AA19:AI20" si="15">Z19</f>
        <v>4.1942568624929691E-2</v>
      </c>
      <c r="AB19" s="4">
        <f t="shared" si="15"/>
        <v>4.1942568624929691E-2</v>
      </c>
      <c r="AC19" s="4">
        <f t="shared" si="15"/>
        <v>4.1942568624929691E-2</v>
      </c>
      <c r="AD19" s="4">
        <f t="shared" si="15"/>
        <v>4.1942568624929691E-2</v>
      </c>
      <c r="AE19" s="4">
        <f t="shared" si="15"/>
        <v>4.1942568624929691E-2</v>
      </c>
      <c r="AF19" s="4">
        <f t="shared" si="15"/>
        <v>4.1942568624929691E-2</v>
      </c>
      <c r="AG19" s="4">
        <f t="shared" si="15"/>
        <v>4.1942568624929691E-2</v>
      </c>
      <c r="AH19" s="4">
        <f t="shared" si="15"/>
        <v>4.1942568624929691E-2</v>
      </c>
      <c r="AI19" s="4">
        <f t="shared" si="15"/>
        <v>4.1942568624929691E-2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105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199.30493904055479</v>
      </c>
      <c r="J22" s="8" t="s">
        <v>23</v>
      </c>
      <c r="K22" s="1">
        <f t="shared" ref="K22:AI22" ca="1" si="17">wa*flt1_*(1-EXP(-za))/za</f>
        <v>1.8348188307290368E-7</v>
      </c>
      <c r="L22" s="1">
        <f t="shared" ca="1" si="17"/>
        <v>3.0885172366343426E-6</v>
      </c>
      <c r="M22" s="1">
        <f t="shared" ca="1" si="17"/>
        <v>2.3471315194180705E-5</v>
      </c>
      <c r="N22" s="1">
        <f t="shared" ca="1" si="17"/>
        <v>1.288010147006257E-4</v>
      </c>
      <c r="O22" s="1">
        <f t="shared" ca="1" si="17"/>
        <v>5.9860828060143178E-4</v>
      </c>
      <c r="P22" s="1">
        <f t="shared" ca="1" si="17"/>
        <v>3.4586910977361671E-3</v>
      </c>
      <c r="Q22" s="1">
        <f t="shared" ca="1" si="17"/>
        <v>4.5783319355904559E-2</v>
      </c>
      <c r="R22" s="1">
        <f t="shared" ca="1" si="17"/>
        <v>0.19265273248927009</v>
      </c>
      <c r="S22" s="1">
        <f t="shared" ca="1" si="17"/>
        <v>0.63545741997132787</v>
      </c>
      <c r="T22" s="1">
        <f t="shared" ca="1" si="17"/>
        <v>1.9459800540717147</v>
      </c>
      <c r="U22" s="1">
        <f t="shared" ca="1" si="17"/>
        <v>5.3909676148458709</v>
      </c>
      <c r="V22" s="1">
        <f t="shared" ca="1" si="17"/>
        <v>12.716886349150569</v>
      </c>
      <c r="W22" s="1">
        <f t="shared" ca="1" si="17"/>
        <v>24.01879983113928</v>
      </c>
      <c r="X22" s="1">
        <f t="shared" ca="1" si="17"/>
        <v>36.272754596515746</v>
      </c>
      <c r="Y22" s="1">
        <f t="shared" ca="1" si="17"/>
        <v>46.70870671849994</v>
      </c>
      <c r="Z22" s="1">
        <f t="shared" ca="1" si="17"/>
        <v>54.972141788343613</v>
      </c>
      <c r="AA22" s="1">
        <f t="shared" ca="1" si="17"/>
        <v>61.860651896862137</v>
      </c>
      <c r="AB22" s="1">
        <f t="shared" ca="1" si="17"/>
        <v>67.995185036219937</v>
      </c>
      <c r="AC22" s="1">
        <f t="shared" ca="1" si="17"/>
        <v>73.704423183161111</v>
      </c>
      <c r="AD22" s="1">
        <f t="shared" ca="1" si="17"/>
        <v>79.133074077986279</v>
      </c>
      <c r="AE22" s="1">
        <f t="shared" ca="1" si="17"/>
        <v>84.336579233076407</v>
      </c>
      <c r="AF22" s="1">
        <f t="shared" ca="1" si="17"/>
        <v>89.332044074881296</v>
      </c>
      <c r="AG22" s="1">
        <f t="shared" ca="1" si="17"/>
        <v>94.121916999070422</v>
      </c>
      <c r="AH22" s="1">
        <f t="shared" ca="1" si="17"/>
        <v>98.704239016800315</v>
      </c>
      <c r="AI22" s="1">
        <f t="shared" ca="1" si="17"/>
        <v>103.07680520408005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8">wa*flt2_*(1-EXP(-za))/za</f>
        <v>6.3140837030138989E-4</v>
      </c>
      <c r="L23" s="1">
        <f t="shared" ca="1" si="18"/>
        <v>4.4444969379176615E-2</v>
      </c>
      <c r="M23" s="1">
        <f t="shared" ca="1" si="18"/>
        <v>0.75007631784696716</v>
      </c>
      <c r="N23" s="1">
        <f t="shared" ca="1" si="18"/>
        <v>2.1416477410165</v>
      </c>
      <c r="O23" s="1">
        <f t="shared" ca="1" si="18"/>
        <v>3.0886434757404535</v>
      </c>
      <c r="P23" s="1">
        <f t="shared" ca="1" si="18"/>
        <v>3.753365978879482</v>
      </c>
      <c r="Q23" s="1">
        <f t="shared" ca="1" si="18"/>
        <v>4.1484955496989473</v>
      </c>
      <c r="R23" s="1">
        <f t="shared" ca="1" si="18"/>
        <v>4.3052521084482853</v>
      </c>
      <c r="S23" s="1">
        <f t="shared" ca="1" si="18"/>
        <v>4.2716539569777074</v>
      </c>
      <c r="T23" s="1">
        <f t="shared" ca="1" si="18"/>
        <v>4.0790114515865081</v>
      </c>
      <c r="U23" s="1">
        <f t="shared" ca="1" si="18"/>
        <v>3.7660417535545396</v>
      </c>
      <c r="V23" s="1">
        <f t="shared" ca="1" si="18"/>
        <v>3.3742727936728567</v>
      </c>
      <c r="W23" s="1">
        <f t="shared" ca="1" si="18"/>
        <v>2.9513896861399762</v>
      </c>
      <c r="X23" s="1">
        <f t="shared" ca="1" si="18"/>
        <v>2.5420638598230272</v>
      </c>
      <c r="Y23" s="1">
        <f t="shared" ca="1" si="18"/>
        <v>2.1679769819839239</v>
      </c>
      <c r="Z23" s="1">
        <f t="shared" ca="1" si="18"/>
        <v>2.4013752713947198</v>
      </c>
      <c r="AA23" s="1">
        <f t="shared" ca="1" si="18"/>
        <v>2.6364470784270599</v>
      </c>
      <c r="AB23" s="1">
        <f t="shared" ca="1" si="18"/>
        <v>2.8697033514624808</v>
      </c>
      <c r="AC23" s="1">
        <f t="shared" ca="1" si="18"/>
        <v>3.0987656011069955</v>
      </c>
      <c r="AD23" s="1">
        <f t="shared" ca="1" si="18"/>
        <v>3.3220452387363855</v>
      </c>
      <c r="AE23" s="1">
        <f t="shared" ca="1" si="18"/>
        <v>3.53845192423511</v>
      </c>
      <c r="AF23" s="1">
        <f t="shared" ca="1" si="18"/>
        <v>3.7472231268392879</v>
      </c>
      <c r="AG23" s="1">
        <f t="shared" ca="1" si="18"/>
        <v>3.9478306889660675</v>
      </c>
      <c r="AH23" s="1">
        <f t="shared" ca="1" si="18"/>
        <v>4.1399264117949572</v>
      </c>
      <c r="AI23" s="1">
        <f t="shared" ca="1" si="18"/>
        <v>4.3233064796096849</v>
      </c>
      <c r="AM23" s="43"/>
    </row>
    <row r="24" spans="1:39">
      <c r="A24" t="s">
        <v>125</v>
      </c>
      <c r="B24" s="31">
        <v>0.16405328226882354</v>
      </c>
      <c r="J24" s="8" t="s">
        <v>25</v>
      </c>
      <c r="K24" s="1">
        <f t="shared" ref="K24:AI24" ca="1" si="19">wa*flt3_*(1-EXP(-za))/za</f>
        <v>1.4748961975136424E-6</v>
      </c>
      <c r="L24" s="1">
        <f t="shared" ca="1" si="19"/>
        <v>3.4662138722044412E-5</v>
      </c>
      <c r="M24" s="1">
        <f t="shared" ca="1" si="19"/>
        <v>3.6694343443900902E-4</v>
      </c>
      <c r="N24" s="1">
        <f t="shared" ca="1" si="19"/>
        <v>2.7812343648879871E-3</v>
      </c>
      <c r="O24" s="1">
        <f t="shared" ca="1" si="19"/>
        <v>1.7854079472309804E-2</v>
      </c>
      <c r="P24" s="1">
        <f t="shared" ca="1" si="19"/>
        <v>0.2682095390814162</v>
      </c>
      <c r="Q24" s="1">
        <f t="shared" ca="1" si="19"/>
        <v>5.9534024185020771</v>
      </c>
      <c r="R24" s="1">
        <f t="shared" ca="1" si="19"/>
        <v>14.427152891951174</v>
      </c>
      <c r="S24" s="1">
        <f t="shared" ca="1" si="19"/>
        <v>19.905650745292345</v>
      </c>
      <c r="T24" s="1">
        <f t="shared" ca="1" si="19"/>
        <v>23.411190237797911</v>
      </c>
      <c r="U24" s="1">
        <f t="shared" ca="1" si="19"/>
        <v>25.767440306820202</v>
      </c>
      <c r="V24" s="1">
        <f t="shared" ca="1" si="19"/>
        <v>27.292117065001531</v>
      </c>
      <c r="W24" s="1">
        <f t="shared" ca="1" si="19"/>
        <v>28.160066686142368</v>
      </c>
      <c r="X24" s="1">
        <f t="shared" ca="1" si="19"/>
        <v>28.596469363138276</v>
      </c>
      <c r="Y24" s="1">
        <f t="shared" ca="1" si="19"/>
        <v>28.750239558323774</v>
      </c>
      <c r="Z24" s="1">
        <f t="shared" ca="1" si="19"/>
        <v>31.84540928974905</v>
      </c>
      <c r="AA24" s="1">
        <f t="shared" ca="1" si="19"/>
        <v>34.962772076231786</v>
      </c>
      <c r="AB24" s="1">
        <f t="shared" ca="1" si="19"/>
        <v>38.056058482858333</v>
      </c>
      <c r="AC24" s="1">
        <f t="shared" ca="1" si="19"/>
        <v>41.093726597314905</v>
      </c>
      <c r="AD24" s="1">
        <f t="shared" ca="1" si="19"/>
        <v>44.05470963527425</v>
      </c>
      <c r="AE24" s="1">
        <f t="shared" ca="1" si="19"/>
        <v>46.924548246022603</v>
      </c>
      <c r="AF24" s="1">
        <f t="shared" ca="1" si="19"/>
        <v>49.693130264018386</v>
      </c>
      <c r="AG24" s="1">
        <f t="shared" ca="1" si="19"/>
        <v>52.353451621802527</v>
      </c>
      <c r="AH24" s="1">
        <f t="shared" ca="1" si="19"/>
        <v>54.900894742903382</v>
      </c>
      <c r="AI24" s="1">
        <f t="shared" ca="1" si="19"/>
        <v>57.332756761599931</v>
      </c>
      <c r="AM24" s="44"/>
    </row>
    <row r="25" spans="1:39">
      <c r="A25" s="40"/>
      <c r="B25" s="40" t="s">
        <v>97</v>
      </c>
      <c r="C25" s="40">
        <v>2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F26" t="s">
        <v>141</v>
      </c>
      <c r="J26" s="8" t="s">
        <v>30</v>
      </c>
      <c r="K26">
        <f ca="1">qa1_/wa</f>
        <v>2.5992865022344767E-6</v>
      </c>
      <c r="L26">
        <f t="shared" ref="L26:AI26" ca="1" si="20">qa1_/wa</f>
        <v>6.6387477821374628E-6</v>
      </c>
      <c r="M26">
        <f t="shared" ca="1" si="20"/>
        <v>1.664307041166276E-5</v>
      </c>
      <c r="N26">
        <f t="shared" ca="1" si="20"/>
        <v>4.230050222878195E-5</v>
      </c>
      <c r="O26">
        <f t="shared" ca="1" si="20"/>
        <v>1.101990654053915E-4</v>
      </c>
      <c r="P26">
        <f t="shared" ca="1" si="20"/>
        <v>4.0330254046508785E-4</v>
      </c>
      <c r="Q26">
        <f t="shared" ca="1" si="20"/>
        <v>3.680760856404093E-3</v>
      </c>
      <c r="R26">
        <f t="shared" ca="1" si="20"/>
        <v>1.1363287159642082E-2</v>
      </c>
      <c r="S26">
        <f t="shared" ca="1" si="20"/>
        <v>2.8832918437772713E-2</v>
      </c>
      <c r="T26">
        <f t="shared" ca="1" si="20"/>
        <v>7.0498009551197699E-2</v>
      </c>
      <c r="U26">
        <f t="shared" ca="1" si="20"/>
        <v>0.1606717315567569</v>
      </c>
      <c r="V26">
        <f t="shared" ca="1" si="20"/>
        <v>0.31954977720563349</v>
      </c>
      <c r="W26">
        <f t="shared" ca="1" si="20"/>
        <v>0.51934530393996869</v>
      </c>
      <c r="X26">
        <f t="shared" ca="1" si="20"/>
        <v>0.68659584467132528</v>
      </c>
      <c r="Y26">
        <f t="shared" ca="1" si="20"/>
        <v>0.78540937854376913</v>
      </c>
      <c r="Z26">
        <f t="shared" ca="1" si="20"/>
        <v>0.83154803021831392</v>
      </c>
      <c r="AA26">
        <f t="shared" ca="1" si="20"/>
        <v>0.85102774772486967</v>
      </c>
      <c r="AB26">
        <f t="shared" ca="1" si="20"/>
        <v>0.85886493820728238</v>
      </c>
      <c r="AC26">
        <f t="shared" ca="1" si="20"/>
        <v>0.86195418615686803</v>
      </c>
      <c r="AD26">
        <f t="shared" ca="1" si="20"/>
        <v>0.86315962759291232</v>
      </c>
      <c r="AE26">
        <f t="shared" ca="1" si="20"/>
        <v>0.86362569588538096</v>
      </c>
      <c r="AF26">
        <f t="shared" ca="1" si="20"/>
        <v>0.86380279653527192</v>
      </c>
      <c r="AG26">
        <f t="shared" ca="1" si="20"/>
        <v>0.86386714746427939</v>
      </c>
      <c r="AH26">
        <f t="shared" ca="1" si="20"/>
        <v>0.86388753401048368</v>
      </c>
      <c r="AI26">
        <f t="shared" ca="1" si="20"/>
        <v>0.8638907819104592</v>
      </c>
      <c r="AM26" s="44"/>
    </row>
    <row r="27" spans="1:39">
      <c r="A27" t="s">
        <v>14</v>
      </c>
      <c r="B27" s="28">
        <f ca="1">fbar*C27</f>
        <v>0.13261120153241124</v>
      </c>
      <c r="C27" s="36">
        <f ca="1">CHOOSE(C$25,E36,E39,1)</f>
        <v>1.5625829326748903</v>
      </c>
      <c r="E27" s="42">
        <f ca="1">f1_/(F4/(f1_*365*re*phib))</f>
        <v>137.71284947495315</v>
      </c>
      <c r="F27" s="107">
        <f ca="1">F4/E27</f>
        <v>161.09705141225479</v>
      </c>
      <c r="J27" s="8" t="s">
        <v>31</v>
      </c>
      <c r="K27">
        <f t="shared" ref="K27:AI27" ca="1" si="21">qa2_/wa</f>
        <v>8.9448136613583858E-3</v>
      </c>
      <c r="L27">
        <f t="shared" ca="1" si="21"/>
        <v>9.5534173613585363E-2</v>
      </c>
      <c r="M27">
        <f t="shared" ca="1" si="21"/>
        <v>0.53186508164412072</v>
      </c>
      <c r="N27">
        <f t="shared" ca="1" si="21"/>
        <v>0.70335451357041368</v>
      </c>
      <c r="O27">
        <f t="shared" ca="1" si="21"/>
        <v>0.56859491495020242</v>
      </c>
      <c r="P27">
        <f t="shared" ca="1" si="21"/>
        <v>0.43766326387693971</v>
      </c>
      <c r="Q27">
        <f t="shared" ca="1" si="21"/>
        <v>0.33351928709225803</v>
      </c>
      <c r="R27">
        <f t="shared" ca="1" si="21"/>
        <v>0.25393782569721474</v>
      </c>
      <c r="S27">
        <f t="shared" ca="1" si="21"/>
        <v>0.19381983161276886</v>
      </c>
      <c r="T27">
        <f t="shared" ca="1" si="21"/>
        <v>0.14777242329473178</v>
      </c>
      <c r="U27">
        <f t="shared" ca="1" si="21"/>
        <v>0.11224264230271265</v>
      </c>
      <c r="V27">
        <f t="shared" ca="1" si="21"/>
        <v>8.4788688822497335E-2</v>
      </c>
      <c r="W27">
        <f t="shared" ca="1" si="21"/>
        <v>6.3816276598735872E-2</v>
      </c>
      <c r="X27">
        <f t="shared" ca="1" si="21"/>
        <v>4.8117946995161372E-2</v>
      </c>
      <c r="Y27">
        <f t="shared" ca="1" si="21"/>
        <v>3.6454647832130642E-2</v>
      </c>
      <c r="Z27">
        <f t="shared" ca="1" si="21"/>
        <v>3.6324924075755508E-2</v>
      </c>
      <c r="AA27">
        <f t="shared" ca="1" si="21"/>
        <v>3.6270061021833555E-2</v>
      </c>
      <c r="AB27">
        <f t="shared" ca="1" si="21"/>
        <v>3.6247972416196164E-2</v>
      </c>
      <c r="AC27">
        <f t="shared" ca="1" si="21"/>
        <v>3.6239263078627654E-2</v>
      </c>
      <c r="AD27">
        <f t="shared" ca="1" si="21"/>
        <v>3.6235864264398544E-2</v>
      </c>
      <c r="AE27">
        <f t="shared" ca="1" si="21"/>
        <v>3.6234550099300253E-2</v>
      </c>
      <c r="AF27">
        <f t="shared" ca="1" si="21"/>
        <v>3.6234050723077268E-2</v>
      </c>
      <c r="AG27">
        <f t="shared" ca="1" si="21"/>
        <v>3.6233869269606353E-2</v>
      </c>
      <c r="AH27">
        <f t="shared" ca="1" si="21"/>
        <v>3.6233811784534158E-2</v>
      </c>
      <c r="AI27">
        <f t="shared" ca="1" si="21"/>
        <v>3.6233802626245246E-2</v>
      </c>
    </row>
    <row r="28" spans="1:39">
      <c r="A28" t="s">
        <v>15</v>
      </c>
      <c r="B28" s="28">
        <f ca="1">fbar*C28</f>
        <v>9.7896093755340571E-2</v>
      </c>
      <c r="C28" s="36">
        <f ca="1">CHOOSE(C$25,E37,E40,1)</f>
        <v>1.1535282352467693</v>
      </c>
      <c r="E28" s="42">
        <f ca="1">f2_/(F5/(f2_*365*re*phib))</f>
        <v>201.23438232103834</v>
      </c>
      <c r="F28" s="107">
        <f t="shared" ref="F28:F29" ca="1" si="22">F5/E28</f>
        <v>41.11520466521106</v>
      </c>
      <c r="J28" s="8" t="s">
        <v>32</v>
      </c>
      <c r="K28">
        <f t="shared" ref="K28:AI28" ca="1" si="23">qa3_/wa</f>
        <v>2.0894039859351744E-5</v>
      </c>
      <c r="L28">
        <f t="shared" ca="1" si="23"/>
        <v>7.4506042522811113E-5</v>
      </c>
      <c r="M28">
        <f t="shared" ca="1" si="23"/>
        <v>2.6019272315766625E-4</v>
      </c>
      <c r="N28">
        <f t="shared" ca="1" si="23"/>
        <v>9.1340592870451764E-4</v>
      </c>
      <c r="O28">
        <f t="shared" ca="1" si="23"/>
        <v>3.2867952804550966E-3</v>
      </c>
      <c r="P28">
        <f t="shared" ca="1" si="23"/>
        <v>3.1274717929943546E-2</v>
      </c>
      <c r="Q28">
        <f t="shared" ca="1" si="23"/>
        <v>0.47862520439156042</v>
      </c>
      <c r="R28">
        <f t="shared" ca="1" si="23"/>
        <v>0.85096058119202977</v>
      </c>
      <c r="S28">
        <f t="shared" ca="1" si="23"/>
        <v>0.90318876820369831</v>
      </c>
      <c r="T28">
        <f t="shared" ca="1" si="23"/>
        <v>0.84812910057112034</v>
      </c>
      <c r="U28">
        <f t="shared" ca="1" si="23"/>
        <v>0.76796960168727335</v>
      </c>
      <c r="V28">
        <f t="shared" ca="1" si="23"/>
        <v>0.68579601076436791</v>
      </c>
      <c r="W28">
        <f t="shared" ca="1" si="23"/>
        <v>0.60888964040259874</v>
      </c>
      <c r="X28">
        <f t="shared" ca="1" si="23"/>
        <v>0.54129379627781582</v>
      </c>
      <c r="Y28">
        <f t="shared" ca="1" si="23"/>
        <v>0.48343680163475838</v>
      </c>
      <c r="Z28">
        <f t="shared" ca="1" si="23"/>
        <v>0.48171649320750848</v>
      </c>
      <c r="AA28">
        <f t="shared" ca="1" si="23"/>
        <v>0.48098893661614933</v>
      </c>
      <c r="AB28">
        <f t="shared" ca="1" si="23"/>
        <v>0.48069601251738731</v>
      </c>
      <c r="AC28">
        <f t="shared" ca="1" si="23"/>
        <v>0.48058051519266015</v>
      </c>
      <c r="AD28">
        <f t="shared" ca="1" si="23"/>
        <v>0.48053544242476964</v>
      </c>
      <c r="AE28">
        <f t="shared" ca="1" si="23"/>
        <v>0.4805180148590209</v>
      </c>
      <c r="AF28">
        <f t="shared" ca="1" si="23"/>
        <v>0.48051139247042551</v>
      </c>
      <c r="AG28">
        <f t="shared" ca="1" si="23"/>
        <v>0.48050898615762755</v>
      </c>
      <c r="AH28">
        <f t="shared" ca="1" si="23"/>
        <v>0.48050822382960917</v>
      </c>
      <c r="AI28">
        <f t="shared" ca="1" si="23"/>
        <v>0.48050810237859637</v>
      </c>
    </row>
    <row r="29" spans="1:39">
      <c r="A29" t="s">
        <v>19</v>
      </c>
      <c r="B29" s="28">
        <f ca="1">fbar*C29</f>
        <v>2.4092698273042324E-2</v>
      </c>
      <c r="C29" s="36">
        <f ca="1">CHOOSE(C$25,E38,E41,1)</f>
        <v>0.28388883207834081</v>
      </c>
      <c r="E29" s="42">
        <f ca="1">f3_/(F6/(f3_*365*re*phib))</f>
        <v>16.029056510573863</v>
      </c>
      <c r="F29" s="107">
        <f t="shared" ca="1" si="22"/>
        <v>392.49223035622066</v>
      </c>
    </row>
    <row r="30" spans="1:39">
      <c r="A30" t="s">
        <v>95</v>
      </c>
      <c r="B30" s="28">
        <v>8.4866664520264701E-2</v>
      </c>
      <c r="C30" s="36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0.25459999356079416</v>
      </c>
      <c r="G31">
        <f ca="1">SUMPRODUCT(dlz1_,wa,ma)</f>
        <v>-93.602712455615418</v>
      </c>
      <c r="H31">
        <f ca="1">Ro/(reck-1)*phie/phif^2*dphif</f>
        <v>-10263.619221767141</v>
      </c>
      <c r="J31" s="8" t="s">
        <v>52</v>
      </c>
      <c r="K31">
        <v>0</v>
      </c>
      <c r="L31">
        <f t="shared" ref="L31:AH31" ca="1" si="24">K31*sa-K$7*K18*K$10</f>
        <v>-2.4080460741304775E-6</v>
      </c>
      <c r="M31">
        <f t="shared" ca="1" si="24"/>
        <v>-7.2202542514188861E-6</v>
      </c>
      <c r="N31">
        <f t="shared" ca="1" si="24"/>
        <v>-1.6725412152986382E-5</v>
      </c>
      <c r="O31">
        <f t="shared" ca="1" si="24"/>
        <v>-3.5962365022093151E-5</v>
      </c>
      <c r="P31">
        <f t="shared" ca="1" si="24"/>
        <v>-7.6433134382291825E-5</v>
      </c>
      <c r="Q31">
        <f t="shared" ca="1" si="24"/>
        <v>-2.025878836942024E-4</v>
      </c>
      <c r="R31">
        <f t="shared" ca="1" si="24"/>
        <v>-1.2127577122831167E-3</v>
      </c>
      <c r="S31">
        <f t="shared" ca="1" si="24"/>
        <v>-3.6391668740965314E-3</v>
      </c>
      <c r="T31">
        <f t="shared" ca="1" si="24"/>
        <v>-8.4764814524391236E-3</v>
      </c>
      <c r="U31">
        <f t="shared" ca="1" si="24"/>
        <v>-1.7905260898569204E-2</v>
      </c>
      <c r="V31">
        <f t="shared" ca="1" si="24"/>
        <v>-3.4784202170453013E-2</v>
      </c>
      <c r="W31">
        <f t="shared" ca="1" si="24"/>
        <v>-5.987917377371299E-2</v>
      </c>
      <c r="X31">
        <f t="shared" ca="1" si="24"/>
        <v>-8.7532109018056733E-2</v>
      </c>
      <c r="Y31">
        <f t="shared" ca="1" si="24"/>
        <v>-0.10835901600858783</v>
      </c>
      <c r="Z31">
        <f t="shared" ca="1" si="24"/>
        <v>-0.11755239189745684</v>
      </c>
      <c r="AA31">
        <f t="shared" ca="1" si="24"/>
        <v>-0.11642415307513278</v>
      </c>
      <c r="AB31">
        <f t="shared" ca="1" si="24"/>
        <v>-0.10850031071171044</v>
      </c>
      <c r="AC31">
        <f t="shared" ca="1" si="24"/>
        <v>-9.7007244412971205E-2</v>
      </c>
      <c r="AD31">
        <f t="shared" ca="1" si="24"/>
        <v>-8.4221197168351025E-2</v>
      </c>
      <c r="AE31">
        <f t="shared" ca="1" si="24"/>
        <v>-7.1555422828501025E-2</v>
      </c>
      <c r="AF31">
        <f t="shared" ca="1" si="24"/>
        <v>-5.9798913276542257E-2</v>
      </c>
      <c r="AG31">
        <f t="shared" ca="1" si="24"/>
        <v>-4.9329393650679343E-2</v>
      </c>
      <c r="AH31">
        <f t="shared" ca="1" si="24"/>
        <v>-4.0269212266321124E-2</v>
      </c>
      <c r="AI31">
        <f ca="1">(AH31*sa-AH$7*AH18*AH$10)/oa-AH$7*AH$10*flt1_*sa/oa^2</f>
        <v>-0.15614586836874611</v>
      </c>
    </row>
    <row r="32" spans="1:39">
      <c r="A32" s="12" t="s">
        <v>22</v>
      </c>
      <c r="B32" s="12"/>
      <c r="C32" s="12"/>
      <c r="G32">
        <f ca="1">SUMPRODUCT(dlz2_,wa,ma)</f>
        <v>-106.82902134424205</v>
      </c>
      <c r="H32">
        <f ca="1">Ro/(reck-1)*phie/phif^2*dphif</f>
        <v>-11713.895550102263</v>
      </c>
      <c r="J32" s="8" t="s">
        <v>53</v>
      </c>
      <c r="K32">
        <v>0</v>
      </c>
      <c r="L32">
        <f t="shared" ref="L32:AH32" ca="1" si="25">K32*sa-K$7*K19*K$10</f>
        <v>-8.2867061412992653E-3</v>
      </c>
      <c r="M32">
        <f t="shared" ca="1" si="25"/>
        <v>-8.2480553038945734E-2</v>
      </c>
      <c r="N32">
        <f t="shared" ca="1" si="25"/>
        <v>-0.41634609738678918</v>
      </c>
      <c r="O32">
        <f t="shared" ca="1" si="25"/>
        <v>-0.70981483481965424</v>
      </c>
      <c r="P32">
        <f t="shared" ca="1" si="25"/>
        <v>-0.82440798806480997</v>
      </c>
      <c r="Q32">
        <f t="shared" ca="1" si="25"/>
        <v>-0.82735099659897848</v>
      </c>
      <c r="R32">
        <f t="shared" ca="1" si="25"/>
        <v>-0.77107670355126212</v>
      </c>
      <c r="S32">
        <f t="shared" ca="1" si="25"/>
        <v>-0.69096333857214631</v>
      </c>
      <c r="T32">
        <f t="shared" ca="1" si="25"/>
        <v>-0.60332381076896335</v>
      </c>
      <c r="U32">
        <f t="shared" ca="1" si="25"/>
        <v>-0.51397409771330271</v>
      </c>
      <c r="V32">
        <f t="shared" ca="1" si="25"/>
        <v>-0.42471070403229266</v>
      </c>
      <c r="W32">
        <f t="shared" ca="1" si="25"/>
        <v>-0.33896265730200231</v>
      </c>
      <c r="X32">
        <f t="shared" ca="1" si="25"/>
        <v>-0.26278163639238916</v>
      </c>
      <c r="Y32">
        <f t="shared" ca="1" si="25"/>
        <v>-0.2001452275765887</v>
      </c>
      <c r="Z32">
        <f t="shared" ca="1" si="25"/>
        <v>-0.15075029496516062</v>
      </c>
      <c r="AA32">
        <f t="shared" ca="1" si="25"/>
        <v>-0.11317478908528901</v>
      </c>
      <c r="AB32">
        <f t="shared" ca="1" si="25"/>
        <v>-8.4846819472332149E-2</v>
      </c>
      <c r="AC32">
        <f t="shared" ca="1" si="25"/>
        <v>-6.3569709905276564E-2</v>
      </c>
      <c r="AD32">
        <f t="shared" ca="1" si="25"/>
        <v>-4.7613186823850448E-2</v>
      </c>
      <c r="AE32">
        <f t="shared" ca="1" si="25"/>
        <v>-3.565494475495283E-2</v>
      </c>
      <c r="AF32">
        <f t="shared" ca="1" si="25"/>
        <v>-2.6696185921719448E-2</v>
      </c>
      <c r="AG32">
        <f t="shared" ca="1" si="25"/>
        <v>-1.9985941374102052E-2</v>
      </c>
      <c r="AH32">
        <f t="shared" ca="1" si="25"/>
        <v>-1.4960636655330081E-2</v>
      </c>
      <c r="AI32">
        <f ca="1">(AH32*sa-AH$7*AH19*AH$10)/oa-AH$7*AH$10*flt2_*sa/oa^2</f>
        <v>-4.4466194007022217E-2</v>
      </c>
    </row>
    <row r="33" spans="1:35">
      <c r="A33" s="59" t="s">
        <v>128</v>
      </c>
      <c r="B33" s="60">
        <f ca="1">SUMPRODUCT(lz*wa)</f>
        <v>60.593439599463437</v>
      </c>
      <c r="C33" s="58"/>
      <c r="G33">
        <f ca="1">SUMPRODUCT(dlz3_,wa,ma)</f>
        <v>-177.79367079111066</v>
      </c>
      <c r="H33">
        <f ca="1">Ro/(reck-1)*phie/phif^2*dphif</f>
        <v>-19495.231379170451</v>
      </c>
      <c r="J33" s="8" t="s">
        <v>54</v>
      </c>
      <c r="K33">
        <v>0</v>
      </c>
      <c r="L33">
        <f t="shared" ref="L33:AH33" ca="1" si="26">K33*sa-K$7*K20*K$10</f>
        <v>-1.9356777566761269E-5</v>
      </c>
      <c r="M33">
        <f t="shared" ca="1" si="26"/>
        <v>-7.4801773911625598E-5</v>
      </c>
      <c r="N33">
        <f t="shared" ca="1" si="26"/>
        <v>-2.3113518961867337E-4</v>
      </c>
      <c r="O33">
        <f t="shared" ca="1" si="26"/>
        <v>-6.7134895976296506E-4</v>
      </c>
      <c r="P33">
        <f t="shared" ca="1" si="26"/>
        <v>-1.9505477643658811E-3</v>
      </c>
      <c r="Q33">
        <f t="shared" ca="1" si="26"/>
        <v>-1.2451859828007363E-2</v>
      </c>
      <c r="R33">
        <f t="shared" ca="1" si="26"/>
        <v>-0.14634664792242902</v>
      </c>
      <c r="S33">
        <f t="shared" ca="1" si="26"/>
        <v>-0.31802642390372238</v>
      </c>
      <c r="T33">
        <f t="shared" ca="1" si="26"/>
        <v>-0.43277236491944859</v>
      </c>
      <c r="U33">
        <f t="shared" ca="1" si="26"/>
        <v>-0.48456459375977512</v>
      </c>
      <c r="V33">
        <f t="shared" ca="1" si="26"/>
        <v>-0.48483924201124723</v>
      </c>
      <c r="W33">
        <f t="shared" ca="1" si="26"/>
        <v>-0.44746696408786535</v>
      </c>
      <c r="X33">
        <f t="shared" ca="1" si="26"/>
        <v>-0.38935153931794719</v>
      </c>
      <c r="Y33">
        <f t="shared" ca="1" si="26"/>
        <v>-0.3257671629692025</v>
      </c>
      <c r="Z33">
        <f t="shared" ca="1" si="26"/>
        <v>-0.26527396673310755</v>
      </c>
      <c r="AA33">
        <f t="shared" ca="1" si="26"/>
        <v>-0.21380657854045862</v>
      </c>
      <c r="AB33">
        <f t="shared" ca="1" si="26"/>
        <v>-0.17104520362966502</v>
      </c>
      <c r="AC33">
        <f t="shared" ca="1" si="26"/>
        <v>-0.13603631210006742</v>
      </c>
      <c r="AD33">
        <f t="shared" ca="1" si="26"/>
        <v>-0.1076676095444776</v>
      </c>
      <c r="AE33">
        <f t="shared" ca="1" si="26"/>
        <v>-8.4859872636847994E-2</v>
      </c>
      <c r="AF33">
        <f t="shared" ca="1" si="26"/>
        <v>-6.6639856271353576E-2</v>
      </c>
      <c r="AG33">
        <f t="shared" ca="1" si="26"/>
        <v>-5.2162854459811815E-2</v>
      </c>
      <c r="AH33">
        <f t="shared" ca="1" si="26"/>
        <v>-4.0713055856186564E-2</v>
      </c>
      <c r="AI33">
        <f ca="1">(AH33*sa-AH$7*AH20*AH$10)/oa-AH$7*AH$10*flt3_*sa/oa^2</f>
        <v>-0.13917573018997681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28.793708837486463</v>
      </c>
      <c r="F35" s="37"/>
      <c r="G35" s="1">
        <f ca="1">SUM(dqa11_)</f>
        <v>885.54754369226384</v>
      </c>
      <c r="H35" s="1">
        <f ca="1">SUM(dqa12_)</f>
        <v>893.23850329285631</v>
      </c>
      <c r="I35" s="11">
        <f ca="1">SUM(dqa13_)</f>
        <v>887.59834205221694</v>
      </c>
      <c r="J35" s="8" t="s">
        <v>62</v>
      </c>
      <c r="K35">
        <f ca="1">flt1_*qa1_+lz*wa*flt1_^2/za*(sa-oa/za)</f>
        <v>2.6337149800068192E-13</v>
      </c>
      <c r="L35">
        <f t="shared" ref="L35:AI35" ca="1" si="27">flt1_*qa1_+lz*wa*flt1_^2/za*(sa-oa/za)</f>
        <v>1.2903531641723512E-11</v>
      </c>
      <c r="M35">
        <f t="shared" ca="1" si="27"/>
        <v>2.7960551895072101E-10</v>
      </c>
      <c r="N35">
        <f t="shared" ca="1" si="27"/>
        <v>4.3459897229917801E-9</v>
      </c>
      <c r="O35">
        <f t="shared" ca="1" si="27"/>
        <v>5.6450798116094933E-8</v>
      </c>
      <c r="P35">
        <f t="shared" ca="1" si="27"/>
        <v>1.2522938200338342E-6</v>
      </c>
      <c r="Q35">
        <f t="shared" ca="1" si="27"/>
        <v>1.5757805612453808E-4</v>
      </c>
      <c r="R35">
        <f t="shared" ca="1" si="27"/>
        <v>2.116118282696304E-3</v>
      </c>
      <c r="S35">
        <f t="shared" ca="1" si="27"/>
        <v>1.8147584684359539E-2</v>
      </c>
      <c r="T35">
        <f t="shared" ca="1" si="27"/>
        <v>0.13864118774637246</v>
      </c>
      <c r="U35">
        <f t="shared" ca="1" si="27"/>
        <v>0.89301373412720986</v>
      </c>
      <c r="V35">
        <f t="shared" ca="1" si="27"/>
        <v>4.2864232970918881</v>
      </c>
      <c r="W35">
        <f t="shared" ca="1" si="27"/>
        <v>13.486878698288859</v>
      </c>
      <c r="X35">
        <f t="shared" ca="1" si="27"/>
        <v>27.505765082556977</v>
      </c>
      <c r="Y35">
        <f t="shared" ca="1" si="27"/>
        <v>41.115535039175505</v>
      </c>
      <c r="Z35">
        <f t="shared" ca="1" si="27"/>
        <v>51.757602954089236</v>
      </c>
      <c r="AA35">
        <f t="shared" ca="1" si="27"/>
        <v>59.999856998588825</v>
      </c>
      <c r="AB35">
        <f t="shared" ca="1" si="27"/>
        <v>66.849292910560592</v>
      </c>
      <c r="AC35">
        <f t="shared" ca="1" si="27"/>
        <v>72.944224178779336</v>
      </c>
      <c r="AD35">
        <f t="shared" ca="1" si="27"/>
        <v>78.596409891126726</v>
      </c>
      <c r="AE35">
        <f t="shared" ca="1" si="27"/>
        <v>83.941467844931708</v>
      </c>
      <c r="AF35">
        <f t="shared" ca="1" si="27"/>
        <v>89.033919752646597</v>
      </c>
      <c r="AG35">
        <f t="shared" ca="1" si="27"/>
        <v>93.894052851221232</v>
      </c>
      <c r="AH35">
        <f t="shared" ca="1" si="27"/>
        <v>98.528966378107341</v>
      </c>
      <c r="AI35">
        <f t="shared" ca="1" si="27"/>
        <v>102.55507029881885</v>
      </c>
    </row>
    <row r="36" spans="1:35">
      <c r="A36" t="s">
        <v>33</v>
      </c>
      <c r="B36" s="1">
        <f ca="1">SUMPRODUCT(lz,ta1_)</f>
        <v>0.35658537438540761</v>
      </c>
      <c r="C36" s="29">
        <f ca="1">B11/(phi_t1/SUM(B$36:B$38))</f>
        <v>2.8744277243918526</v>
      </c>
      <c r="E36" s="38">
        <f ca="1">C36/AVERAGE(C$36:C$38)</f>
        <v>2.021036383564708</v>
      </c>
      <c r="G36" s="1">
        <f ca="1">SUM(dqa21_)</f>
        <v>893.23850329285631</v>
      </c>
      <c r="H36" s="1">
        <f ca="1">SUM(dqa22_)</f>
        <v>10.829724481931045</v>
      </c>
      <c r="I36" s="11">
        <f ca="1">SUM(dqa23_)</f>
        <v>891.54007751810127</v>
      </c>
      <c r="J36" s="8" t="s">
        <v>63</v>
      </c>
      <c r="K36">
        <f t="shared" ref="K36:AI36" ca="1" si="28">flt2_*qa2_+lz*wa*flt2_^2/za*(sa-oa/za)</f>
        <v>3.1189116050307871E-6</v>
      </c>
      <c r="L36">
        <f t="shared" ca="1" si="28"/>
        <v>2.672106447368437E-3</v>
      </c>
      <c r="M36">
        <f t="shared" ca="1" si="28"/>
        <v>0.28554975748092881</v>
      </c>
      <c r="N36">
        <f t="shared" ca="1" si="28"/>
        <v>1.2015620552376305</v>
      </c>
      <c r="O36">
        <f t="shared" ca="1" si="28"/>
        <v>1.5028658178042364</v>
      </c>
      <c r="P36">
        <f t="shared" ca="1" si="28"/>
        <v>1.4747707368955261</v>
      </c>
      <c r="Q36">
        <f t="shared" ca="1" si="28"/>
        <v>1.2937859868006123</v>
      </c>
      <c r="R36">
        <f t="shared" ca="1" si="28"/>
        <v>1.0567853136789025</v>
      </c>
      <c r="S36">
        <f t="shared" ca="1" si="28"/>
        <v>0.82004568671565037</v>
      </c>
      <c r="T36">
        <f t="shared" ca="1" si="28"/>
        <v>0.60915154556671358</v>
      </c>
      <c r="U36">
        <f t="shared" ca="1" si="28"/>
        <v>0.4358077546648817</v>
      </c>
      <c r="V36">
        <f t="shared" ca="1" si="28"/>
        <v>0.30178236469397757</v>
      </c>
      <c r="W36">
        <f t="shared" ca="1" si="28"/>
        <v>0.20363946919472534</v>
      </c>
      <c r="X36">
        <f t="shared" ca="1" si="28"/>
        <v>0.13509384633411886</v>
      </c>
      <c r="Y36">
        <f t="shared" ca="1" si="28"/>
        <v>8.8576720070847784E-2</v>
      </c>
      <c r="Z36">
        <f t="shared" ca="1" si="28"/>
        <v>9.8766327841618415E-2</v>
      </c>
      <c r="AA36">
        <f t="shared" ca="1" si="28"/>
        <v>0.10898314760731748</v>
      </c>
      <c r="AB36">
        <f t="shared" ca="1" si="28"/>
        <v>0.11907333235627796</v>
      </c>
      <c r="AC36">
        <f t="shared" ca="1" si="28"/>
        <v>0.12893809775824219</v>
      </c>
      <c r="AD36">
        <f t="shared" ca="1" si="28"/>
        <v>0.13851529116999217</v>
      </c>
      <c r="AE36">
        <f t="shared" ca="1" si="28"/>
        <v>0.14776486952603474</v>
      </c>
      <c r="AF36">
        <f t="shared" ca="1" si="28"/>
        <v>0.15666069836623128</v>
      </c>
      <c r="AG36">
        <f t="shared" ca="1" si="28"/>
        <v>0.1651861362444465</v>
      </c>
      <c r="AH36">
        <f t="shared" ca="1" si="28"/>
        <v>0.17333152606465541</v>
      </c>
      <c r="AI36">
        <f t="shared" ca="1" si="28"/>
        <v>0.18041277449850193</v>
      </c>
    </row>
    <row r="37" spans="1:35">
      <c r="A37" t="s">
        <v>34</v>
      </c>
      <c r="B37" s="1">
        <f ca="1">SUMPRODUCT(lz,ta2_)</f>
        <v>1.6167625963999479</v>
      </c>
      <c r="C37" s="29">
        <f ca="1">B12/(phi_t2/SUM(B$36:B$38))</f>
        <v>1.0076801916217859</v>
      </c>
      <c r="E37" s="38">
        <f ca="1">C37/AVERAGE(C$36:C$38)</f>
        <v>0.70850914531029452</v>
      </c>
      <c r="G37" s="1">
        <f ca="1">SUM(dqa31_)</f>
        <v>887.59834205221694</v>
      </c>
      <c r="H37" s="1">
        <f ca="1">SUM(dqa32_)</f>
        <v>891.54007751810127</v>
      </c>
      <c r="I37" s="1">
        <f ca="1">SUM(dqa33_)</f>
        <v>393.07741424815515</v>
      </c>
      <c r="J37" s="8" t="s">
        <v>64</v>
      </c>
      <c r="K37">
        <f t="shared" ref="K37:AI37" ca="1" si="29">flt3_*qa3_+lz*wa*flt3_^2/za*(sa-oa/za)</f>
        <v>1.7017874184937581E-11</v>
      </c>
      <c r="L37">
        <f t="shared" ca="1" si="29"/>
        <v>1.6252465182455695E-9</v>
      </c>
      <c r="M37">
        <f t="shared" ca="1" si="29"/>
        <v>6.8339080513053242E-8</v>
      </c>
      <c r="N37">
        <f t="shared" ca="1" si="29"/>
        <v>2.0264005745056651E-6</v>
      </c>
      <c r="O37">
        <f t="shared" ca="1" si="29"/>
        <v>5.0218018607132951E-5</v>
      </c>
      <c r="P37">
        <f t="shared" ca="1" si="29"/>
        <v>7.5306267880222207E-3</v>
      </c>
      <c r="Q37">
        <f t="shared" ca="1" si="29"/>
        <v>2.6644750933276105</v>
      </c>
      <c r="R37">
        <f t="shared" ca="1" si="29"/>
        <v>11.867271041307399</v>
      </c>
      <c r="S37">
        <f t="shared" ca="1" si="29"/>
        <v>17.807324841147661</v>
      </c>
      <c r="T37">
        <f t="shared" ca="1" si="29"/>
        <v>20.066077689531415</v>
      </c>
      <c r="U37">
        <f t="shared" ca="1" si="29"/>
        <v>20.401741927304549</v>
      </c>
      <c r="V37">
        <f t="shared" ca="1" si="29"/>
        <v>19.742762793443337</v>
      </c>
      <c r="W37">
        <f t="shared" ca="1" si="29"/>
        <v>18.538568826172188</v>
      </c>
      <c r="X37">
        <f t="shared" ca="1" si="29"/>
        <v>17.09572359446565</v>
      </c>
      <c r="Y37">
        <f t="shared" ca="1" si="29"/>
        <v>15.577336314835312</v>
      </c>
      <c r="Z37">
        <f t="shared" ca="1" si="29"/>
        <v>17.369307693258403</v>
      </c>
      <c r="AA37">
        <f t="shared" ca="1" si="29"/>
        <v>19.166064645096935</v>
      </c>
      <c r="AB37">
        <f t="shared" ca="1" si="29"/>
        <v>20.940551227888221</v>
      </c>
      <c r="AC37">
        <f t="shared" ca="1" si="29"/>
        <v>22.675394967986509</v>
      </c>
      <c r="AD37">
        <f t="shared" ca="1" si="29"/>
        <v>24.359665537135239</v>
      </c>
      <c r="AE37">
        <f t="shared" ca="1" si="29"/>
        <v>25.986320855905806</v>
      </c>
      <c r="AF37">
        <f t="shared" ca="1" si="29"/>
        <v>27.550764849001457</v>
      </c>
      <c r="AG37">
        <f t="shared" ca="1" si="29"/>
        <v>29.050070907681121</v>
      </c>
      <c r="AH37">
        <f t="shared" ca="1" si="29"/>
        <v>30.482540709490699</v>
      </c>
      <c r="AI37">
        <f t="shared" ca="1" si="29"/>
        <v>31.727867791987087</v>
      </c>
    </row>
    <row r="38" spans="1:35">
      <c r="A38" t="s">
        <v>35</v>
      </c>
      <c r="B38" s="1">
        <f ca="1">SUMPRODUCT(lz,ta3_)</f>
        <v>1.1063884522182168</v>
      </c>
      <c r="C38" s="29">
        <f ca="1">B13/(phi_t3/SUM(B$36:B$38))</f>
        <v>0.38465503951801394</v>
      </c>
      <c r="E38" s="38">
        <f ca="1">C38/AVERAGE(C$36:C$38)</f>
        <v>0.27045447112499688</v>
      </c>
      <c r="G38" t="s">
        <v>69</v>
      </c>
      <c r="J38" s="8" t="s">
        <v>60</v>
      </c>
      <c r="K38">
        <f t="shared" ref="K38:AI38" ca="1" si="30">flt1_*qa1_+lz*wa*flt2_*flt1_/za*(sa-oa/za)</f>
        <v>-8.613490613975819E-10</v>
      </c>
      <c r="L38">
        <f t="shared" ca="1" si="30"/>
        <v>-1.3360307745077621E-7</v>
      </c>
      <c r="M38">
        <f t="shared" ca="1" si="30"/>
        <v>-4.8888116671538074E-6</v>
      </c>
      <c r="N38">
        <f t="shared" ca="1" si="30"/>
        <v>-2.8994252229596862E-5</v>
      </c>
      <c r="O38">
        <f t="shared" ca="1" si="30"/>
        <v>-8.6352119549264344E-5</v>
      </c>
      <c r="P38">
        <f t="shared" ca="1" si="30"/>
        <v>-3.0811612387303178E-4</v>
      </c>
      <c r="Q38">
        <f t="shared" ca="1" si="30"/>
        <v>-2.3772373702130498E-3</v>
      </c>
      <c r="R38">
        <f t="shared" ca="1" si="30"/>
        <v>-4.3159881493202296E-3</v>
      </c>
      <c r="S38">
        <f t="shared" ca="1" si="30"/>
        <v>6.3635398498447359E-3</v>
      </c>
      <c r="T38">
        <f t="shared" ca="1" si="30"/>
        <v>0.12479280363465695</v>
      </c>
      <c r="U38">
        <f t="shared" ca="1" si="30"/>
        <v>0.91276823038801269</v>
      </c>
      <c r="V38">
        <f t="shared" ca="1" si="30"/>
        <v>4.4712962084433112</v>
      </c>
      <c r="W38">
        <f t="shared" ca="1" si="30"/>
        <v>14.032302694496925</v>
      </c>
      <c r="X38">
        <f t="shared" ca="1" si="30"/>
        <v>28.409761074011975</v>
      </c>
      <c r="Y38">
        <f t="shared" ca="1" si="30"/>
        <v>42.157410956118788</v>
      </c>
      <c r="Z38">
        <f t="shared" ca="1" si="30"/>
        <v>52.736607254318479</v>
      </c>
      <c r="AA38">
        <f t="shared" ca="1" si="30"/>
        <v>60.841188163237568</v>
      </c>
      <c r="AB38">
        <f t="shared" ca="1" si="30"/>
        <v>67.542625935796636</v>
      </c>
      <c r="AC38">
        <f t="shared" ca="1" si="30"/>
        <v>73.503561299166975</v>
      </c>
      <c r="AD38">
        <f t="shared" ca="1" si="30"/>
        <v>79.042063517275039</v>
      </c>
      <c r="AE38">
        <f t="shared" ca="1" si="30"/>
        <v>84.29353314159043</v>
      </c>
      <c r="AF38">
        <f t="shared" ca="1" si="30"/>
        <v>89.310226073416786</v>
      </c>
      <c r="AG38">
        <f t="shared" ca="1" si="30"/>
        <v>94.109716161468754</v>
      </c>
      <c r="AH38">
        <f t="shared" ca="1" si="30"/>
        <v>98.6964971570264</v>
      </c>
      <c r="AI38">
        <f t="shared" ca="1" si="30"/>
        <v>103.05491079390694</v>
      </c>
    </row>
    <row r="39" spans="1:35">
      <c r="A39" s="1" t="s">
        <v>36</v>
      </c>
      <c r="B39" s="1">
        <f ca="1">SUMPRODUCT(lz,qa1_)</f>
        <v>21.29728369015179</v>
      </c>
      <c r="C39" s="23">
        <f ca="1">B4/(phi_q1/SUM(B$39:B$41))</f>
        <v>1.8509125747676285</v>
      </c>
      <c r="D39" s="21"/>
      <c r="E39" s="39">
        <f ca="1">C39/AVERAGE(C$39:C$41)</f>
        <v>1.5625829326748897</v>
      </c>
      <c r="G39" s="108">
        <f ca="1">re*phi_q1+f1_*phi_q1*$H31+f1_*re*G35</f>
        <v>1060772.0875306202</v>
      </c>
      <c r="H39" s="108">
        <f ca="1">re*phi_q1+f1_*phi_q1*$H32+f1_*re*H35</f>
        <v>1064687.7160825557</v>
      </c>
      <c r="I39" s="108">
        <f ca="1">re*phi_q1+f1_*phi_q1*$H33+f1_*re*I35</f>
        <v>1036835.9224605726</v>
      </c>
      <c r="J39" s="8" t="s">
        <v>66</v>
      </c>
      <c r="K39">
        <f t="shared" ref="K39:AI39" ca="1" si="31">flt1_*qa1_+lz*wa*flt3_*flt1_/za*(sa-oa/za)</f>
        <v>-1.4993895238747309E-12</v>
      </c>
      <c r="L39">
        <f t="shared" ca="1" si="31"/>
        <v>-8.2023602991625065E-11</v>
      </c>
      <c r="M39">
        <f t="shared" ca="1" si="31"/>
        <v>-1.9592587802399242E-9</v>
      </c>
      <c r="N39">
        <f t="shared" ca="1" si="31"/>
        <v>-3.157096977190915E-8</v>
      </c>
      <c r="O39">
        <f t="shared" ca="1" si="31"/>
        <v>-4.2638564382084017E-7</v>
      </c>
      <c r="P39">
        <f t="shared" ca="1" si="31"/>
        <v>-2.0589726432168076E-5</v>
      </c>
      <c r="Q39">
        <f t="shared" ca="1" si="31"/>
        <v>-3.4923791391892052E-3</v>
      </c>
      <c r="R39">
        <f t="shared" ca="1" si="31"/>
        <v>-2.0146643455642228E-2</v>
      </c>
      <c r="S39">
        <f t="shared" ca="1" si="31"/>
        <v>-4.430251112435124E-2</v>
      </c>
      <c r="T39">
        <f t="shared" ca="1" si="31"/>
        <v>-7.1844662623227196E-4</v>
      </c>
      <c r="U39">
        <f t="shared" ca="1" si="31"/>
        <v>0.64529353766109554</v>
      </c>
      <c r="V39">
        <f t="shared" ca="1" si="31"/>
        <v>3.9980066436514612</v>
      </c>
      <c r="W39">
        <f t="shared" ca="1" si="31"/>
        <v>13.379663511330726</v>
      </c>
      <c r="X39">
        <f t="shared" ca="1" si="31"/>
        <v>27.711492594466176</v>
      </c>
      <c r="Y39">
        <f t="shared" ca="1" si="31"/>
        <v>41.535611103265332</v>
      </c>
      <c r="Z39">
        <f t="shared" ca="1" si="31"/>
        <v>52.188282817946195</v>
      </c>
      <c r="AA39">
        <f t="shared" ca="1" si="31"/>
        <v>60.381964696369664</v>
      </c>
      <c r="AB39">
        <f t="shared" ca="1" si="31"/>
        <v>67.168028137528211</v>
      </c>
      <c r="AC39">
        <f t="shared" ca="1" si="31"/>
        <v>73.202565701920932</v>
      </c>
      <c r="AD39">
        <f t="shared" ca="1" si="31"/>
        <v>78.802617359256388</v>
      </c>
      <c r="AE39">
        <f t="shared" ca="1" si="31"/>
        <v>84.104484962119528</v>
      </c>
      <c r="AF39">
        <f t="shared" ca="1" si="31"/>
        <v>89.1618920065239</v>
      </c>
      <c r="AG39">
        <f t="shared" ca="1" si="31"/>
        <v>93.993947686598247</v>
      </c>
      <c r="AH39">
        <f t="shared" ca="1" si="31"/>
        <v>98.606568680533172</v>
      </c>
      <c r="AI39">
        <f t="shared" ca="1" si="31"/>
        <v>102.78660364311703</v>
      </c>
    </row>
    <row r="40" spans="1:35">
      <c r="A40" s="1" t="s">
        <v>37</v>
      </c>
      <c r="B40" s="1">
        <f ca="1">SUMPRODUCT(lz,qa2_)</f>
        <v>10.759241318918153</v>
      </c>
      <c r="C40" s="23">
        <f ca="1">B5/(phi_q2/SUM(B$39:B$41))</f>
        <v>1.3663786230615256</v>
      </c>
      <c r="D40" s="21"/>
      <c r="E40" s="39">
        <f ca="1">C40/AVERAGE(C$39:C$41)</f>
        <v>1.1535282352467693</v>
      </c>
      <c r="G40" s="108">
        <f ca="1">re*phi_q1+f1_*phi_q1*$H32+f1_*re*G36</f>
        <v>1064687.7160825557</v>
      </c>
      <c r="H40" s="108">
        <f ca="1">re*phi_q2+f2_*phi_q2*$H32+f2_*re*H36</f>
        <v>80505.958842414984</v>
      </c>
      <c r="I40" s="108">
        <f ca="1">re*phi_q3+f3_*phi_q3*$H33+f3_*re*I36</f>
        <v>414240.99236423301</v>
      </c>
      <c r="J40" s="8" t="s">
        <v>65</v>
      </c>
      <c r="K40">
        <f t="shared" ref="K40:AI40" ca="1" si="32">flt1_*qa1_+lz*wa*flt1_*flt2_/za*(sa-oa/za)</f>
        <v>-8.613490613975819E-10</v>
      </c>
      <c r="L40">
        <f t="shared" ca="1" si="32"/>
        <v>-1.3360307745077624E-7</v>
      </c>
      <c r="M40">
        <f t="shared" ca="1" si="32"/>
        <v>-4.8888116671538065E-6</v>
      </c>
      <c r="N40">
        <f t="shared" ca="1" si="32"/>
        <v>-2.8994252229596862E-5</v>
      </c>
      <c r="O40">
        <f t="shared" ca="1" si="32"/>
        <v>-8.6352119549264344E-5</v>
      </c>
      <c r="P40">
        <f t="shared" ca="1" si="32"/>
        <v>-3.0811612387303178E-4</v>
      </c>
      <c r="Q40">
        <f t="shared" ca="1" si="32"/>
        <v>-2.3772373702130498E-3</v>
      </c>
      <c r="R40">
        <f t="shared" ca="1" si="32"/>
        <v>-4.3159881493202313E-3</v>
      </c>
      <c r="S40">
        <f t="shared" ca="1" si="32"/>
        <v>6.3635398498447359E-3</v>
      </c>
      <c r="T40">
        <f t="shared" ca="1" si="32"/>
        <v>0.12479280363465695</v>
      </c>
      <c r="U40">
        <f t="shared" ca="1" si="32"/>
        <v>0.91276823038801269</v>
      </c>
      <c r="V40">
        <f t="shared" ca="1" si="32"/>
        <v>4.4712962084433112</v>
      </c>
      <c r="W40">
        <f t="shared" ca="1" si="32"/>
        <v>14.032302694496925</v>
      </c>
      <c r="X40">
        <f t="shared" ca="1" si="32"/>
        <v>28.409761074011975</v>
      </c>
      <c r="Y40">
        <f t="shared" ca="1" si="32"/>
        <v>42.157410956118788</v>
      </c>
      <c r="Z40">
        <f t="shared" ca="1" si="32"/>
        <v>52.736607254318479</v>
      </c>
      <c r="AA40">
        <f t="shared" ca="1" si="32"/>
        <v>60.841188163237568</v>
      </c>
      <c r="AB40">
        <f t="shared" ca="1" si="32"/>
        <v>67.542625935796636</v>
      </c>
      <c r="AC40">
        <f t="shared" ca="1" si="32"/>
        <v>73.503561299166975</v>
      </c>
      <c r="AD40">
        <f t="shared" ca="1" si="32"/>
        <v>79.042063517275039</v>
      </c>
      <c r="AE40">
        <f t="shared" ca="1" si="32"/>
        <v>84.29353314159043</v>
      </c>
      <c r="AF40">
        <f t="shared" ca="1" si="32"/>
        <v>89.310226073416786</v>
      </c>
      <c r="AG40">
        <f t="shared" ca="1" si="32"/>
        <v>94.109716161468754</v>
      </c>
      <c r="AH40">
        <f t="shared" ca="1" si="32"/>
        <v>98.6964971570264</v>
      </c>
      <c r="AI40">
        <f t="shared" ca="1" si="32"/>
        <v>103.05491079390694</v>
      </c>
    </row>
    <row r="41" spans="1:35">
      <c r="A41" s="1" t="s">
        <v>38</v>
      </c>
      <c r="B41" s="1">
        <f ca="1">SUMPRODUCT(lz,qa3_)</f>
        <v>33.242674119398259</v>
      </c>
      <c r="C41" s="23">
        <f ca="1">B6/(phi_q3/SUM(B$39:B$41))</f>
        <v>0.33627233354610209</v>
      </c>
      <c r="D41" s="21"/>
      <c r="E41" s="39">
        <f ca="1">C41/AVERAGE(C$39:C$41)</f>
        <v>0.28388883207834092</v>
      </c>
      <c r="G41" s="108">
        <f ca="1">re*phi_q1+f1_*phi_q1*$H33+f1_*re*G37</f>
        <v>1036835.9224605726</v>
      </c>
      <c r="H41" s="108">
        <f ca="1">re*phi_q3+f3_*phi_q3*$H33+f3_*re*H37</f>
        <v>414240.99236423307</v>
      </c>
      <c r="I41" s="108">
        <f ca="1">re*phi_q3+f1_*phi_q3*$H33+f3_*re*I37</f>
        <v>249577.39331008765</v>
      </c>
      <c r="J41" s="8" t="s">
        <v>67</v>
      </c>
      <c r="K41">
        <f t="shared" ref="K41:AI41" ca="1" si="33">flt1_*qa1_+lz*wa*flt3_*flt2_/za*(sa-oa/za)</f>
        <v>-6.927463303373859E-9</v>
      </c>
      <c r="L41">
        <f t="shared" ca="1" si="33"/>
        <v>-1.4996416224160524E-6</v>
      </c>
      <c r="M41">
        <f t="shared" ca="1" si="33"/>
        <v>-7.6436531758796011E-5</v>
      </c>
      <c r="N41">
        <f t="shared" ca="1" si="33"/>
        <v>-6.2620596942938411E-4</v>
      </c>
      <c r="O41">
        <f t="shared" ca="1" si="33"/>
        <v>-2.5776468018411719E-3</v>
      </c>
      <c r="P41">
        <f t="shared" ca="1" si="33"/>
        <v>-2.4011041134513841E-2</v>
      </c>
      <c r="Q41">
        <f t="shared" ca="1" si="33"/>
        <v>-0.33310535831843596</v>
      </c>
      <c r="R41">
        <f t="shared" ca="1" si="33"/>
        <v>-0.50182671989667305</v>
      </c>
      <c r="S41">
        <f t="shared" ca="1" si="33"/>
        <v>-0.41343673392294866</v>
      </c>
      <c r="T41">
        <f t="shared" ca="1" si="33"/>
        <v>-0.16732198104946944</v>
      </c>
      <c r="U41">
        <f t="shared" ca="1" si="33"/>
        <v>0.73971495503147122</v>
      </c>
      <c r="V41">
        <f t="shared" ca="1" si="33"/>
        <v>4.3947683194438776</v>
      </c>
      <c r="W41">
        <f t="shared" ca="1" si="33"/>
        <v>14.019128272826798</v>
      </c>
      <c r="X41">
        <f t="shared" ca="1" si="33"/>
        <v>28.424178850627317</v>
      </c>
      <c r="Y41">
        <f t="shared" ca="1" si="33"/>
        <v>42.176908717919765</v>
      </c>
      <c r="Z41">
        <f t="shared" ca="1" si="33"/>
        <v>52.755420855923013</v>
      </c>
      <c r="AA41">
        <f t="shared" ca="1" si="33"/>
        <v>60.857473260348065</v>
      </c>
      <c r="AB41">
        <f t="shared" ca="1" si="33"/>
        <v>67.55607799932983</v>
      </c>
      <c r="AC41">
        <f t="shared" ca="1" si="33"/>
        <v>73.514422788758438</v>
      </c>
      <c r="AD41">
        <f t="shared" ca="1" si="33"/>
        <v>79.050720207864572</v>
      </c>
      <c r="AE41">
        <f t="shared" ca="1" si="33"/>
        <v>84.300372738800107</v>
      </c>
      <c r="AF41">
        <f t="shared" ca="1" si="33"/>
        <v>89.315594142560272</v>
      </c>
      <c r="AG41">
        <f t="shared" ca="1" si="33"/>
        <v>94.113906130280967</v>
      </c>
      <c r="AH41">
        <f t="shared" ca="1" si="33"/>
        <v>98.699752010360243</v>
      </c>
      <c r="AI41">
        <f t="shared" ca="1" si="33"/>
        <v>103.06462189822054</v>
      </c>
    </row>
    <row r="42" spans="1:35">
      <c r="A42" s="1" t="s">
        <v>96</v>
      </c>
      <c r="B42" s="1">
        <f ca="1">SUMPRODUCT(lz/SUM(lz),len,ta1_)</f>
        <v>8.6166059133718278</v>
      </c>
      <c r="J42" s="8" t="s">
        <v>68</v>
      </c>
      <c r="K42">
        <f t="shared" ref="K42:AI42" ca="1" si="34">flt1_*qa1_+lz*wa*flt1_*flt3_/za*(sa-oa/za)</f>
        <v>-1.4993895238747309E-12</v>
      </c>
      <c r="L42">
        <f t="shared" ca="1" si="34"/>
        <v>-8.2023602991625078E-11</v>
      </c>
      <c r="M42">
        <f t="shared" ca="1" si="34"/>
        <v>-1.9592587802399242E-9</v>
      </c>
      <c r="N42">
        <f t="shared" ca="1" si="34"/>
        <v>-3.157096977190915E-8</v>
      </c>
      <c r="O42">
        <f t="shared" ca="1" si="34"/>
        <v>-4.2638564382084006E-7</v>
      </c>
      <c r="P42">
        <f t="shared" ca="1" si="34"/>
        <v>-2.0589726432168076E-5</v>
      </c>
      <c r="Q42">
        <f t="shared" ca="1" si="34"/>
        <v>-3.4923791391892052E-3</v>
      </c>
      <c r="R42">
        <f t="shared" ca="1" si="34"/>
        <v>-2.0146643455642228E-2</v>
      </c>
      <c r="S42">
        <f t="shared" ca="1" si="34"/>
        <v>-4.430251112435124E-2</v>
      </c>
      <c r="T42">
        <f t="shared" ca="1" si="34"/>
        <v>-7.1844662623227196E-4</v>
      </c>
      <c r="U42">
        <f t="shared" ca="1" si="34"/>
        <v>0.64529353766109543</v>
      </c>
      <c r="V42">
        <f t="shared" ca="1" si="34"/>
        <v>3.9980066436514612</v>
      </c>
      <c r="W42">
        <f t="shared" ca="1" si="34"/>
        <v>13.379663511330726</v>
      </c>
      <c r="X42">
        <f t="shared" ca="1" si="34"/>
        <v>27.711492594466176</v>
      </c>
      <c r="Y42">
        <f t="shared" ca="1" si="34"/>
        <v>41.535611103265332</v>
      </c>
      <c r="Z42">
        <f t="shared" ca="1" si="34"/>
        <v>52.188282817946195</v>
      </c>
      <c r="AA42">
        <f t="shared" ca="1" si="34"/>
        <v>60.381964696369664</v>
      </c>
      <c r="AB42">
        <f t="shared" ca="1" si="34"/>
        <v>67.168028137528211</v>
      </c>
      <c r="AC42">
        <f t="shared" ca="1" si="34"/>
        <v>73.202565701920932</v>
      </c>
      <c r="AD42">
        <f t="shared" ca="1" si="34"/>
        <v>78.802617359256388</v>
      </c>
      <c r="AE42">
        <f t="shared" ca="1" si="34"/>
        <v>84.104484962119528</v>
      </c>
      <c r="AF42">
        <f t="shared" ca="1" si="34"/>
        <v>89.1618920065239</v>
      </c>
      <c r="AG42">
        <f t="shared" ca="1" si="34"/>
        <v>93.993947686598247</v>
      </c>
      <c r="AH42">
        <f t="shared" ca="1" si="34"/>
        <v>98.606568680533172</v>
      </c>
      <c r="AI42">
        <f t="shared" ca="1" si="34"/>
        <v>102.78660364311703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-6.927463303373859E-9</v>
      </c>
      <c r="L43">
        <f t="shared" ca="1" si="35"/>
        <v>-1.4996416224160524E-6</v>
      </c>
      <c r="M43">
        <f t="shared" ca="1" si="35"/>
        <v>-7.6436531758796025E-5</v>
      </c>
      <c r="N43">
        <f t="shared" ca="1" si="35"/>
        <v>-6.2620596942938411E-4</v>
      </c>
      <c r="O43">
        <f t="shared" ca="1" si="35"/>
        <v>-2.5776468018411719E-3</v>
      </c>
      <c r="P43">
        <f t="shared" ca="1" si="35"/>
        <v>-2.4011041134513841E-2</v>
      </c>
      <c r="Q43">
        <f t="shared" ca="1" si="35"/>
        <v>-0.33310535831843596</v>
      </c>
      <c r="R43">
        <f t="shared" ca="1" si="35"/>
        <v>-0.50182671989667305</v>
      </c>
      <c r="S43">
        <f t="shared" ca="1" si="35"/>
        <v>-0.41343673392294866</v>
      </c>
      <c r="T43">
        <f t="shared" ca="1" si="35"/>
        <v>-0.16732198104946944</v>
      </c>
      <c r="U43">
        <f t="shared" ca="1" si="35"/>
        <v>0.73971495503147111</v>
      </c>
      <c r="V43">
        <f t="shared" ca="1" si="35"/>
        <v>4.3947683194438776</v>
      </c>
      <c r="W43">
        <f t="shared" ca="1" si="35"/>
        <v>14.019128272826798</v>
      </c>
      <c r="X43">
        <f t="shared" ca="1" si="35"/>
        <v>28.424178850627317</v>
      </c>
      <c r="Y43">
        <f t="shared" ca="1" si="35"/>
        <v>42.176908717919765</v>
      </c>
      <c r="Z43">
        <f t="shared" ca="1" si="35"/>
        <v>52.755420855923013</v>
      </c>
      <c r="AA43">
        <f t="shared" ca="1" si="35"/>
        <v>60.857473260348065</v>
      </c>
      <c r="AB43">
        <f t="shared" ca="1" si="35"/>
        <v>67.55607799932983</v>
      </c>
      <c r="AC43">
        <f t="shared" ca="1" si="35"/>
        <v>73.514422788758438</v>
      </c>
      <c r="AD43">
        <f t="shared" ca="1" si="35"/>
        <v>79.050720207864572</v>
      </c>
      <c r="AE43">
        <f t="shared" ca="1" si="35"/>
        <v>84.300372738800107</v>
      </c>
      <c r="AF43">
        <f t="shared" ca="1" si="35"/>
        <v>89.315594142560272</v>
      </c>
      <c r="AG43">
        <f t="shared" ca="1" si="35"/>
        <v>94.113906130280967</v>
      </c>
      <c r="AH43">
        <f t="shared" ca="1" si="35"/>
        <v>98.699752010360243</v>
      </c>
      <c r="AI43">
        <f t="shared" ca="1" si="35"/>
        <v>103.06462189822054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0.29066549607270947</v>
      </c>
      <c r="G46" s="32" t="s">
        <v>94</v>
      </c>
      <c r="H46" s="32"/>
      <c r="I46" s="32"/>
      <c r="J46" s="8" t="s">
        <v>75</v>
      </c>
      <c r="K46">
        <f t="shared" ref="K46:AI46" ca="1" si="36">lz*qa1_</f>
        <v>1.8348188307290368E-7</v>
      </c>
      <c r="L46">
        <f t="shared" ca="1" si="36"/>
        <v>2.6558022928792536E-6</v>
      </c>
      <c r="M46">
        <f t="shared" ca="1" si="36"/>
        <v>1.7196582177339014E-5</v>
      </c>
      <c r="N46">
        <f t="shared" ca="1" si="36"/>
        <v>7.6671492867693854E-5</v>
      </c>
      <c r="O46">
        <f t="shared" ca="1" si="36"/>
        <v>2.8397089616781512E-4</v>
      </c>
      <c r="P46">
        <f t="shared" ca="1" si="36"/>
        <v>1.3274800228404711E-3</v>
      </c>
      <c r="Q46">
        <f t="shared" ca="1" si="36"/>
        <v>1.4413894373687584E-2</v>
      </c>
      <c r="R46">
        <f t="shared" ca="1" si="36"/>
        <v>4.9694487376324037E-2</v>
      </c>
      <c r="S46">
        <f t="shared" ca="1" si="36"/>
        <v>0.13396715283854702</v>
      </c>
      <c r="T46">
        <f t="shared" ca="1" si="36"/>
        <v>0.33617393843499382</v>
      </c>
      <c r="U46">
        <f t="shared" ca="1" si="36"/>
        <v>0.76340994321450761</v>
      </c>
      <c r="V46">
        <f t="shared" ca="1" si="36"/>
        <v>1.4652572337848051</v>
      </c>
      <c r="W46">
        <f t="shared" ca="1" si="36"/>
        <v>2.2097804176112139</v>
      </c>
      <c r="X46">
        <f t="shared" ca="1" si="36"/>
        <v>2.5949538918137027</v>
      </c>
      <c r="Y46">
        <f t="shared" ca="1" si="36"/>
        <v>2.5396344116138221</v>
      </c>
      <c r="Z46">
        <f t="shared" ca="1" si="36"/>
        <v>2.2424653043682308</v>
      </c>
      <c r="AA46">
        <f t="shared" ca="1" si="36"/>
        <v>1.8791145355961141</v>
      </c>
      <c r="AB46">
        <f t="shared" ca="1" si="36"/>
        <v>1.5331746178019139</v>
      </c>
      <c r="AC46">
        <f t="shared" ca="1" si="36"/>
        <v>1.2320402724229969</v>
      </c>
      <c r="AD46">
        <f t="shared" ca="1" si="36"/>
        <v>0.9801388606664323</v>
      </c>
      <c r="AE46">
        <f t="shared" ca="1" si="36"/>
        <v>0.77385220689697787</v>
      </c>
      <c r="AF46">
        <f t="shared" ca="1" si="36"/>
        <v>0.60719562047164699</v>
      </c>
      <c r="AG46">
        <f t="shared" ca="1" si="36"/>
        <v>0.47389141159992565</v>
      </c>
      <c r="AH46">
        <f t="shared" ca="1" si="36"/>
        <v>0.36811711973244149</v>
      </c>
      <c r="AI46">
        <f t="shared" ca="1" si="36"/>
        <v>1.0983002112552753</v>
      </c>
    </row>
    <row r="47" spans="1:35" ht="19" thickTop="1">
      <c r="A47" s="1" t="s">
        <v>41</v>
      </c>
      <c r="B47" s="11">
        <f ca="1">MAX(0,Ro*(reck-1/spr)/(reck-1))</f>
        <v>7855.2069289443052</v>
      </c>
      <c r="F47" t="s">
        <v>84</v>
      </c>
      <c r="G47" s="31">
        <f ca="1">G39/G53</f>
        <v>0.99999999999999978</v>
      </c>
      <c r="H47" s="31">
        <f ca="1">H53/H39</f>
        <v>0.27447501140471847</v>
      </c>
      <c r="I47" s="31">
        <f ca="1">I53/I39</f>
        <v>0.49625355222995315</v>
      </c>
      <c r="J47" s="8" t="s">
        <v>76</v>
      </c>
      <c r="K47">
        <f t="shared" ref="K47:AI47" ca="1" si="37">lz*qa2_</f>
        <v>6.3140837030138989E-4</v>
      </c>
      <c r="L47">
        <f t="shared" ca="1" si="37"/>
        <v>3.8218032324402462E-2</v>
      </c>
      <c r="M47">
        <f t="shared" ca="1" si="37"/>
        <v>0.5495537396357425</v>
      </c>
      <c r="N47">
        <f t="shared" ca="1" si="37"/>
        <v>1.2748605271637006</v>
      </c>
      <c r="O47">
        <f t="shared" ca="1" si="37"/>
        <v>1.4652066871972937</v>
      </c>
      <c r="P47">
        <f t="shared" ca="1" si="37"/>
        <v>1.4405791713035061</v>
      </c>
      <c r="Q47">
        <f t="shared" ca="1" si="37"/>
        <v>1.3060646869712365</v>
      </c>
      <c r="R47">
        <f t="shared" ca="1" si="37"/>
        <v>1.1105334131042843</v>
      </c>
      <c r="S47">
        <f t="shared" ca="1" si="37"/>
        <v>0.90055021869700946</v>
      </c>
      <c r="T47">
        <f t="shared" ca="1" si="37"/>
        <v>0.70466156204021557</v>
      </c>
      <c r="U47">
        <f t="shared" ca="1" si="37"/>
        <v>0.53330569326870902</v>
      </c>
      <c r="V47">
        <f t="shared" ca="1" si="37"/>
        <v>0.3887883782198514</v>
      </c>
      <c r="W47">
        <f t="shared" ca="1" si="37"/>
        <v>0.27153409741632678</v>
      </c>
      <c r="X47">
        <f t="shared" ca="1" si="37"/>
        <v>0.18185932057446696</v>
      </c>
      <c r="Y47">
        <f t="shared" ca="1" si="37"/>
        <v>0.11787671579552297</v>
      </c>
      <c r="Z47">
        <f t="shared" ca="1" si="37"/>
        <v>9.7958721521240563E-2</v>
      </c>
      <c r="AA47">
        <f t="shared" ca="1" si="37"/>
        <v>8.0086224045328822E-2</v>
      </c>
      <c r="AB47">
        <f t="shared" ca="1" si="37"/>
        <v>6.4706880887811125E-2</v>
      </c>
      <c r="AC47">
        <f t="shared" ca="1" si="37"/>
        <v>5.1798845313195653E-2</v>
      </c>
      <c r="AD47">
        <f t="shared" ca="1" si="37"/>
        <v>4.1146709808954823E-2</v>
      </c>
      <c r="AE47">
        <f t="shared" ca="1" si="37"/>
        <v>3.2467985487064588E-2</v>
      </c>
      <c r="AF47">
        <f t="shared" ca="1" si="37"/>
        <v>2.5470115400467622E-2</v>
      </c>
      <c r="AG47">
        <f t="shared" ca="1" si="37"/>
        <v>1.9876805717526064E-2</v>
      </c>
      <c r="AH47">
        <f t="shared" ca="1" si="37"/>
        <v>1.5439841305648757E-2</v>
      </c>
      <c r="AI47">
        <f t="shared" ca="1" si="37"/>
        <v>4.606553734834487E-2</v>
      </c>
    </row>
    <row r="48" spans="1:35">
      <c r="A48" s="1" t="s">
        <v>43</v>
      </c>
      <c r="B48" s="1">
        <f ca="1">f1_*re*phi_q1</f>
        <v>22185.13399199464</v>
      </c>
      <c r="C48" s="20">
        <f ca="1">ye_1/SUM(ye_1,ye_2,ye_3)</f>
        <v>0.60367371601208464</v>
      </c>
      <c r="F48" t="s">
        <v>85</v>
      </c>
      <c r="G48" s="31">
        <f ca="1">G40/G54</f>
        <v>3.643318912283354</v>
      </c>
      <c r="H48" s="31">
        <f t="shared" ref="H48:I49" ca="1" si="38">H40/H54</f>
        <v>0.99999999999999944</v>
      </c>
      <c r="I48" s="31">
        <f ca="1">I54/I40</f>
        <v>0.34218704405467876</v>
      </c>
      <c r="J48" s="8" t="s">
        <v>77</v>
      </c>
      <c r="K48">
        <f t="shared" ref="K48:AI48" ca="1" si="39">lz*qa3_</f>
        <v>1.4748961975136424E-6</v>
      </c>
      <c r="L48">
        <f t="shared" ca="1" si="39"/>
        <v>2.9805819570047306E-5</v>
      </c>
      <c r="M48">
        <f t="shared" ca="1" si="39"/>
        <v>2.6884615849434481E-4</v>
      </c>
      <c r="N48">
        <f t="shared" ca="1" si="39"/>
        <v>1.6555878171187919E-3</v>
      </c>
      <c r="O48">
        <f t="shared" ca="1" si="39"/>
        <v>8.4697106810972499E-3</v>
      </c>
      <c r="P48">
        <f t="shared" ca="1" si="39"/>
        <v>0.10294148711310845</v>
      </c>
      <c r="Q48">
        <f t="shared" ca="1" si="39"/>
        <v>1.874300833394646</v>
      </c>
      <c r="R48">
        <f t="shared" ca="1" si="39"/>
        <v>3.7214627480318523</v>
      </c>
      <c r="S48">
        <f t="shared" ca="1" si="39"/>
        <v>4.196509902843907</v>
      </c>
      <c r="T48">
        <f t="shared" ca="1" si="39"/>
        <v>4.0443539024071438</v>
      </c>
      <c r="U48">
        <f t="shared" ca="1" si="39"/>
        <v>3.6489034152684718</v>
      </c>
      <c r="V48">
        <f t="shared" ca="1" si="39"/>
        <v>3.1446354757637955</v>
      </c>
      <c r="W48">
        <f t="shared" ca="1" si="39"/>
        <v>2.5907857328070203</v>
      </c>
      <c r="X48">
        <f t="shared" ca="1" si="39"/>
        <v>2.0457922286700287</v>
      </c>
      <c r="Y48">
        <f t="shared" ca="1" si="39"/>
        <v>1.5632010144168882</v>
      </c>
      <c r="Z48">
        <f t="shared" ca="1" si="39"/>
        <v>1.2990620905880432</v>
      </c>
      <c r="AA48">
        <f t="shared" ca="1" si="39"/>
        <v>1.0620491572367934</v>
      </c>
      <c r="AB48">
        <f t="shared" ca="1" si="39"/>
        <v>0.85809874461586255</v>
      </c>
      <c r="AC48">
        <f t="shared" ca="1" si="39"/>
        <v>0.6869211361442279</v>
      </c>
      <c r="AD48">
        <f t="shared" ca="1" si="39"/>
        <v>0.54565974356505131</v>
      </c>
      <c r="AE48">
        <f t="shared" ca="1" si="39"/>
        <v>0.43056839094069688</v>
      </c>
      <c r="AF48">
        <f t="shared" ca="1" si="39"/>
        <v>0.3377673865667572</v>
      </c>
      <c r="AG48">
        <f t="shared" ca="1" si="39"/>
        <v>0.26359270913946053</v>
      </c>
      <c r="AH48">
        <f t="shared" ca="1" si="39"/>
        <v>0.2047526980077484</v>
      </c>
      <c r="AI48">
        <f t="shared" ca="1" si="39"/>
        <v>0.61088989650428227</v>
      </c>
    </row>
    <row r="49" spans="1:47">
      <c r="A49" s="1" t="s">
        <v>44</v>
      </c>
      <c r="B49" s="1">
        <f ca="1">f2_*re*phi_q2</f>
        <v>8273.7928148068258</v>
      </c>
      <c r="C49" s="20">
        <f ca="1">ye_2/SUM(ye_1,ye_2,ye_3)</f>
        <v>0.22513595166163144</v>
      </c>
      <c r="F49" t="s">
        <v>86</v>
      </c>
      <c r="G49" s="31">
        <f ca="1">G41/G55</f>
        <v>2.0150989257536276</v>
      </c>
      <c r="H49" s="31">
        <f t="shared" ca="1" si="38"/>
        <v>2.9223783231261327</v>
      </c>
      <c r="I49" s="31">
        <f t="shared" ca="1" si="38"/>
        <v>0.99999999999999989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6291.2801403410385</v>
      </c>
      <c r="C50" s="20">
        <f ca="1">ye_3/SUM(ye_1,ye_2,ye_3)</f>
        <v>0.17119033232628406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36750.206947142506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08">
        <f ca="1">G39^0.5</f>
        <v>1029.9379046965016</v>
      </c>
      <c r="H52" s="108">
        <f ca="1">H40^0.5</f>
        <v>283.73572006783883</v>
      </c>
      <c r="I52" s="109">
        <f ca="1">I41^0.5</f>
        <v>499.57721456256155</v>
      </c>
      <c r="J52" s="108"/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2.8242583795276541</v>
      </c>
      <c r="C53">
        <f ca="1">AVERAGE(B53:B55)/B53</f>
        <v>0.55217466736063847</v>
      </c>
      <c r="G53" s="108">
        <f ca="1">G$52*$J53</f>
        <v>1060772.0875306202</v>
      </c>
      <c r="H53" s="108">
        <f t="shared" ref="H53:I53" ca="1" si="40">H$52*$J53</f>
        <v>292230.17301422305</v>
      </c>
      <c r="I53" s="108">
        <f t="shared" ca="1" si="40"/>
        <v>514533.50960067927</v>
      </c>
      <c r="J53" s="108">
        <f t="array" aca="1" ref="J53:J55" ca="1">TRANSPOSE(G52:I52)</f>
        <v>1029.9379046965016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1.0532876968931457</v>
      </c>
      <c r="C54">
        <f ca="1">AVERAGE(B53:B55)/B54</f>
        <v>1.4805868670602971</v>
      </c>
      <c r="G54" s="108">
        <f t="shared" ref="G54:I55" ca="1" si="41">G$52*$J54</f>
        <v>292230.17301422305</v>
      </c>
      <c r="H54" s="108">
        <f t="shared" ca="1" si="41"/>
        <v>80505.958842414999</v>
      </c>
      <c r="I54" s="108">
        <f ca="1">I$52*$J54</f>
        <v>141747.90070339362</v>
      </c>
      <c r="J54" s="108">
        <f ca="1"/>
        <v>283.73572006783883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0.80090571734773519</v>
      </c>
      <c r="C55">
        <f ca="1">AVERAGE(B53:B55)/B55</f>
        <v>1.9471504541390177</v>
      </c>
      <c r="G55" s="108">
        <f t="shared" ca="1" si="41"/>
        <v>514533.50960067927</v>
      </c>
      <c r="H55" s="108">
        <f t="shared" ca="1" si="41"/>
        <v>141747.90070339362</v>
      </c>
      <c r="I55" s="108">
        <f t="shared" ca="1" si="41"/>
        <v>249577.39331008767</v>
      </c>
      <c r="J55" s="108">
        <f ca="1"/>
        <v>499.57721456256155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4.7287214946133603E-2</v>
      </c>
      <c r="C56">
        <f ca="1">AVERAGE(B56:B58)/B56</f>
        <v>1.6369318224106972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0.15827474271729716</v>
      </c>
      <c r="C57">
        <f ca="1">AVERAGE(B56:B58)/B57</f>
        <v>0.48906063980631248</v>
      </c>
      <c r="G57">
        <f t="array" aca="1" ref="G57:I59" ca="1">MMULT($G$39:$I$41,TRANSPOSE($G$39:$I$41))</f>
        <v>3333826084565.8247</v>
      </c>
      <c r="H57">
        <f ca="1"/>
        <v>1644604658047.0205</v>
      </c>
      <c r="I57">
        <f ca="1"/>
        <v>1799654708781.2544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2.6655883152071801E-2</v>
      </c>
      <c r="C58">
        <f ca="1">AVERAGE(B56:B58)/B58</f>
        <v>2.9038972934004832</v>
      </c>
      <c r="G58">
        <f ca="1"/>
        <v>1644604658047.0205</v>
      </c>
      <c r="H58">
        <f ca="1"/>
        <v>1311636741941.1301</v>
      </c>
      <c r="I58">
        <f ca="1"/>
        <v>1240640525595.4619</v>
      </c>
      <c r="AL58" s="31"/>
      <c r="AM58" s="31"/>
      <c r="AN58" s="31"/>
      <c r="AO58" s="31"/>
      <c r="AP58" s="31"/>
    </row>
    <row r="59" spans="1:47">
      <c r="G59">
        <f ca="1"/>
        <v>1799654708781.2544</v>
      </c>
      <c r="H59">
        <f ca="1"/>
        <v>1240640525595.4619</v>
      </c>
      <c r="I59">
        <f ca="1"/>
        <v>1308913205111.0293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59.725623146655145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6.6548059330886309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30.046114502324624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(1)'!K35:AI35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'Excluders (1)'!K46:AI46</xm:f>
              <xm:sqref>J46</xm:sqref>
            </x14:sparkline>
            <x14:sparkline>
              <xm:f>'Excluders (1)'!K47:AI47</xm:f>
              <xm:sqref>J47</xm:sqref>
            </x14:sparkline>
            <x14:sparkline>
              <xm:f>'Excluders (1)'!K48:AI48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(1)'!K18:AI18</xm:f>
              <xm:sqref>J18</xm:sqref>
            </x14:sparkline>
            <x14:sparkline>
              <xm:f>'Excluders (1)'!K19:AI19</xm:f>
              <xm:sqref>J19</xm:sqref>
            </x14:sparkline>
            <x14:sparkline>
              <xm:f>'Excluders (1)'!K20:AI20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'Excluders (1)'!K6:AI6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G48" sqref="G48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G3" t="s">
        <v>140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0.71126741040739683</v>
      </c>
      <c r="E4" s="47">
        <v>24977</v>
      </c>
      <c r="F4" s="47">
        <f ca="1">ye_1</f>
        <v>28995.344547135704</v>
      </c>
      <c r="G4">
        <f ca="1">F4/(f1_*365*re*phib)</f>
        <v>8.3260931991565809E-4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0.13729294709599474</v>
      </c>
      <c r="E5" s="47">
        <v>9315</v>
      </c>
      <c r="F5" s="47">
        <f ca="1">ye_2</f>
        <v>5596.8490144373463</v>
      </c>
      <c r="G5">
        <f ca="1">F5/(f2_*365*re*phib)</f>
        <v>5.1201363761623798E-4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0.15143964249660855</v>
      </c>
      <c r="E6" s="47">
        <v>7083</v>
      </c>
      <c r="F6" s="47">
        <f ca="1">ye_3</f>
        <v>6173.5495652319214</v>
      </c>
      <c r="G6">
        <f ca="1">F6/(f3_*365*re*phib)</f>
        <v>1.5199353212289215E-3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0.27051004013116176</v>
      </c>
      <c r="J7" t="s">
        <v>7</v>
      </c>
      <c r="K7" s="1">
        <f>1</f>
        <v>1</v>
      </c>
      <c r="L7" s="1">
        <f ca="1">K7*EXP(-K8)</f>
        <v>0.86017537346113282</v>
      </c>
      <c r="M7" s="1">
        <f t="shared" ref="M7:AH7" ca="1" si="4">L7*EXP(-L8)</f>
        <v>0.735465867580535</v>
      </c>
      <c r="N7" s="1">
        <f t="shared" ca="1" si="4"/>
        <v>0.60955487583679002</v>
      </c>
      <c r="O7" s="1">
        <f t="shared" ca="1" si="4"/>
        <v>0.49884066944518762</v>
      </c>
      <c r="P7" s="1">
        <f t="shared" ca="1" si="4"/>
        <v>0.41228730519808304</v>
      </c>
      <c r="Q7" s="1">
        <f t="shared" ca="1" si="4"/>
        <v>0.34373655635626593</v>
      </c>
      <c r="R7" s="1">
        <f t="shared" ca="1" si="4"/>
        <v>0.28511266894781057</v>
      </c>
      <c r="S7" s="1">
        <f t="shared" ca="1" si="4"/>
        <v>0.23508684110652248</v>
      </c>
      <c r="T7" s="1">
        <f t="shared" ca="1" si="4"/>
        <v>0.19364430112870024</v>
      </c>
      <c r="U7" s="1">
        <f t="shared" ca="1" si="4"/>
        <v>0.15876351256675189</v>
      </c>
      <c r="V7" s="1">
        <f t="shared" ca="1" si="4"/>
        <v>0.12810940437947063</v>
      </c>
      <c r="W7" s="1">
        <f t="shared" ca="1" si="4"/>
        <v>0.100050538018138</v>
      </c>
      <c r="X7" s="1">
        <f t="shared" ca="1" si="4"/>
        <v>7.4787813396578806E-2</v>
      </c>
      <c r="Y7" s="1">
        <f t="shared" ca="1" si="4"/>
        <v>5.3839768537046542E-2</v>
      </c>
      <c r="Z7" s="1">
        <f t="shared" ca="1" si="4"/>
        <v>3.7920403866435699E-2</v>
      </c>
      <c r="AA7" s="1">
        <f t="shared" ca="1" si="4"/>
        <v>2.6401613110793479E-2</v>
      </c>
      <c r="AB7" s="1">
        <f t="shared" ca="1" si="4"/>
        <v>1.8291983747170955E-2</v>
      </c>
      <c r="AC7" s="1">
        <f t="shared" ca="1" si="4"/>
        <v>1.2648338602545064E-2</v>
      </c>
      <c r="AD7" s="1">
        <f t="shared" ca="1" si="4"/>
        <v>8.7391218103313635E-3</v>
      </c>
      <c r="AE7" s="1">
        <f t="shared" ca="1" si="4"/>
        <v>6.0362890019649311E-3</v>
      </c>
      <c r="AF7" s="1">
        <f t="shared" ca="1" si="4"/>
        <v>4.1688971730202461E-3</v>
      </c>
      <c r="AG7" s="1">
        <f t="shared" ca="1" si="4"/>
        <v>2.8790747049728151E-3</v>
      </c>
      <c r="AH7" s="1">
        <f t="shared" ca="1" si="4"/>
        <v>1.9882804043718796E-3</v>
      </c>
      <c r="AI7" s="1">
        <f ca="1">AH7*EXP(-AH8)/(1-EXP(-AI8))</f>
        <v>4.437821394793884E-3</v>
      </c>
    </row>
    <row r="8" spans="1:35">
      <c r="A8" s="5"/>
      <c r="B8" s="26"/>
      <c r="C8" s="26"/>
      <c r="E8" t="s">
        <v>111</v>
      </c>
      <c r="F8">
        <f ca="1">SUMXMY2(E4:E6,F4:F6)</f>
        <v>30798839.744235631</v>
      </c>
      <c r="J8" t="s">
        <v>11</v>
      </c>
      <c r="K8" s="1">
        <f ca="1">M+f1_*flt1_ +f2_*flt2_ +f3_*flt3_</f>
        <v>0.15061898789475253</v>
      </c>
      <c r="L8" s="1">
        <f t="shared" ref="L8:AI8" ca="1" si="5">M+f1_*flt1_ +f2_*flt2_ +f3_*flt3_</f>
        <v>0.15663215921922022</v>
      </c>
      <c r="M8" s="1">
        <f t="shared" ca="1" si="5"/>
        <v>0.18777515281297819</v>
      </c>
      <c r="N8" s="1">
        <f t="shared" ca="1" si="5"/>
        <v>0.20044223399971609</v>
      </c>
      <c r="O8" s="1">
        <f t="shared" ca="1" si="5"/>
        <v>0.190566296022603</v>
      </c>
      <c r="P8" s="1">
        <f t="shared" ca="1" si="5"/>
        <v>0.18184490959862623</v>
      </c>
      <c r="Q8" s="1">
        <f t="shared" ca="1" si="5"/>
        <v>0.18699110764632382</v>
      </c>
      <c r="R8" s="1">
        <f t="shared" ca="1" si="5"/>
        <v>0.19292944928209996</v>
      </c>
      <c r="S8" s="1">
        <f t="shared" ca="1" si="5"/>
        <v>0.19393200569639424</v>
      </c>
      <c r="T8" s="1">
        <f t="shared" ca="1" si="5"/>
        <v>0.19860722412827797</v>
      </c>
      <c r="U8" s="1">
        <f t="shared" ca="1" si="5"/>
        <v>0.21453113211351277</v>
      </c>
      <c r="V8" s="1">
        <f t="shared" ca="1" si="5"/>
        <v>0.24720918205971462</v>
      </c>
      <c r="W8" s="1">
        <f t="shared" ca="1" si="5"/>
        <v>0.29102048930642999</v>
      </c>
      <c r="X8" s="1">
        <f t="shared" ca="1" si="5"/>
        <v>0.32864256296328781</v>
      </c>
      <c r="Y8" s="1">
        <f t="shared" ca="1" si="5"/>
        <v>0.35052305842192122</v>
      </c>
      <c r="Z8" s="1">
        <f t="shared" ca="1" si="5"/>
        <v>0.36206421684912965</v>
      </c>
      <c r="AA8" s="1">
        <f t="shared" ca="1" si="5"/>
        <v>0.36696219369289401</v>
      </c>
      <c r="AB8" s="1">
        <f t="shared" ca="1" si="5"/>
        <v>0.36893704649321118</v>
      </c>
      <c r="AC8" s="1">
        <f t="shared" ca="1" si="5"/>
        <v>0.3697161655291103</v>
      </c>
      <c r="AD8" s="1">
        <f t="shared" ca="1" si="5"/>
        <v>0.37002028577666796</v>
      </c>
      <c r="AE8" s="1">
        <f t="shared" ca="1" si="5"/>
        <v>0.37013788554371313</v>
      </c>
      <c r="AF8" s="1">
        <f t="shared" ca="1" si="5"/>
        <v>0.37018257440168689</v>
      </c>
      <c r="AG8" s="1">
        <f t="shared" ca="1" si="5"/>
        <v>0.37019881276508354</v>
      </c>
      <c r="AH8" s="1">
        <f t="shared" ca="1" si="5"/>
        <v>0.37020395715662846</v>
      </c>
      <c r="AI8" s="1">
        <f t="shared" ca="1" si="5"/>
        <v>0.37020477674128927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0.86017537346113282</v>
      </c>
      <c r="L10" s="1">
        <f t="shared" ca="1" si="6"/>
        <v>0.85501851165675946</v>
      </c>
      <c r="M10" s="1">
        <f t="shared" ca="1" si="6"/>
        <v>0.82880103986612608</v>
      </c>
      <c r="N10" s="1">
        <f t="shared" ca="1" si="6"/>
        <v>0.8183687625505166</v>
      </c>
      <c r="O10" s="1">
        <f t="shared" ca="1" si="6"/>
        <v>0.82649096284918078</v>
      </c>
      <c r="P10" s="1">
        <f t="shared" ca="1" si="6"/>
        <v>0.83373063400804448</v>
      </c>
      <c r="Q10" s="1">
        <f t="shared" ca="1" si="6"/>
        <v>0.82945111212525613</v>
      </c>
      <c r="R10" s="1">
        <f t="shared" ca="1" si="6"/>
        <v>0.82454014398621744</v>
      </c>
      <c r="S10" s="1">
        <f t="shared" ca="1" si="6"/>
        <v>0.82371391021820817</v>
      </c>
      <c r="T10" s="1">
        <f t="shared" ca="1" si="6"/>
        <v>0.81987185598214007</v>
      </c>
      <c r="U10" s="1">
        <f t="shared" ca="1" si="6"/>
        <v>0.80691969022546806</v>
      </c>
      <c r="V10" s="1">
        <f t="shared" ca="1" si="6"/>
        <v>0.78097731000122406</v>
      </c>
      <c r="W10" s="1">
        <f t="shared" ca="1" si="6"/>
        <v>0.74750036209720971</v>
      </c>
      <c r="X10" s="1">
        <f t="shared" ca="1" si="6"/>
        <v>0.71990028979119025</v>
      </c>
      <c r="Y10" s="1">
        <f t="shared" ca="1" si="6"/>
        <v>0.70431959305960046</v>
      </c>
      <c r="Z10" s="1">
        <f t="shared" ca="1" si="6"/>
        <v>0.69623765621763878</v>
      </c>
      <c r="AA10" s="1">
        <f t="shared" ca="1" si="6"/>
        <v>0.69283583811372673</v>
      </c>
      <c r="AB10" s="1">
        <f t="shared" ca="1" si="6"/>
        <v>0.69146893947471721</v>
      </c>
      <c r="AC10" s="1">
        <f t="shared" ca="1" si="6"/>
        <v>0.69093041267672106</v>
      </c>
      <c r="AD10" s="1">
        <f t="shared" ca="1" si="6"/>
        <v>0.69072031869710848</v>
      </c>
      <c r="AE10" s="1">
        <f t="shared" ca="1" si="6"/>
        <v>0.69063909492457831</v>
      </c>
      <c r="AF10" s="1">
        <f t="shared" ca="1" si="6"/>
        <v>0.69060823174177943</v>
      </c>
      <c r="AG10" s="1">
        <f t="shared" ca="1" si="6"/>
        <v>0.69059701748539848</v>
      </c>
      <c r="AH10" s="1">
        <f t="shared" ca="1" si="6"/>
        <v>0.69059346479307904</v>
      </c>
      <c r="AI10" s="1">
        <f t="shared" ca="1" si="6"/>
        <v>0.69059289879350039</v>
      </c>
    </row>
    <row r="11" spans="1:35">
      <c r="A11" s="5">
        <v>1</v>
      </c>
      <c r="B11" s="25">
        <f>'Status Quo'!B11</f>
        <v>0.33281383386907948</v>
      </c>
      <c r="C11" s="18">
        <f ca="1">mpr1_/SUM(mpr1_,mpr2_,mpr3_)</f>
        <v>0.33281383386907937</v>
      </c>
      <c r="J11" t="s">
        <v>56</v>
      </c>
      <c r="K11" s="1">
        <f ca="1">1-sa</f>
        <v>0.13982462653886718</v>
      </c>
      <c r="L11" s="1">
        <f t="shared" ref="L11:AI11" ca="1" si="7">1-sa</f>
        <v>0.14498148834324054</v>
      </c>
      <c r="M11" s="1">
        <f t="shared" ca="1" si="7"/>
        <v>0.17119896013387392</v>
      </c>
      <c r="N11" s="1">
        <f t="shared" ca="1" si="7"/>
        <v>0.1816312374494834</v>
      </c>
      <c r="O11" s="1">
        <f t="shared" ca="1" si="7"/>
        <v>0.17350903715081922</v>
      </c>
      <c r="P11" s="1">
        <f t="shared" ca="1" si="7"/>
        <v>0.16626936599195552</v>
      </c>
      <c r="Q11" s="1">
        <f t="shared" ca="1" si="7"/>
        <v>0.17054888787474387</v>
      </c>
      <c r="R11" s="1">
        <f t="shared" ca="1" si="7"/>
        <v>0.17545985601378256</v>
      </c>
      <c r="S11" s="1">
        <f t="shared" ca="1" si="7"/>
        <v>0.17628608978179183</v>
      </c>
      <c r="T11" s="1">
        <f t="shared" ca="1" si="7"/>
        <v>0.18012814401785993</v>
      </c>
      <c r="U11" s="1">
        <f t="shared" ca="1" si="7"/>
        <v>0.19308030977453194</v>
      </c>
      <c r="V11" s="1">
        <f t="shared" ca="1" si="7"/>
        <v>0.21902268999877594</v>
      </c>
      <c r="W11" s="1">
        <f t="shared" ca="1" si="7"/>
        <v>0.25249963790279029</v>
      </c>
      <c r="X11" s="1">
        <f t="shared" ca="1" si="7"/>
        <v>0.28009971020880975</v>
      </c>
      <c r="Y11" s="1">
        <f t="shared" ca="1" si="7"/>
        <v>0.29568040694039954</v>
      </c>
      <c r="Z11" s="1">
        <f t="shared" ca="1" si="7"/>
        <v>0.30376234378236122</v>
      </c>
      <c r="AA11" s="1">
        <f t="shared" ca="1" si="7"/>
        <v>0.30716416188627327</v>
      </c>
      <c r="AB11" s="1">
        <f t="shared" ca="1" si="7"/>
        <v>0.30853106052528279</v>
      </c>
      <c r="AC11" s="1">
        <f t="shared" ca="1" si="7"/>
        <v>0.30906958732327894</v>
      </c>
      <c r="AD11" s="1">
        <f t="shared" ca="1" si="7"/>
        <v>0.30927968130289152</v>
      </c>
      <c r="AE11" s="1">
        <f t="shared" ca="1" si="7"/>
        <v>0.30936090507542169</v>
      </c>
      <c r="AF11" s="1">
        <f t="shared" ca="1" si="7"/>
        <v>0.30939176825822057</v>
      </c>
      <c r="AG11" s="1">
        <f t="shared" ca="1" si="7"/>
        <v>0.30940298251460152</v>
      </c>
      <c r="AH11" s="1">
        <f t="shared" ca="1" si="7"/>
        <v>0.30940653520692096</v>
      </c>
      <c r="AI11" s="1">
        <f t="shared" ca="1" si="7"/>
        <v>0.30940710120649961</v>
      </c>
    </row>
    <row r="12" spans="1:35">
      <c r="A12" s="5">
        <v>2</v>
      </c>
      <c r="B12" s="25">
        <f>'Status Quo'!B12</f>
        <v>0.52899969970753113</v>
      </c>
      <c r="C12" s="18">
        <f ca="1">mpr2_/SUM(mpr1_,mpr2_,mpr3_)</f>
        <v>0.52899969970753113</v>
      </c>
      <c r="J12" t="s">
        <v>100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5">
        <f>1-SUM(B11:B12)</f>
        <v>0.13818646642338939</v>
      </c>
      <c r="C13" s="18">
        <f ca="1">mpr3_/SUM(mpr1_,mpr2_,mpr3_)</f>
        <v>0.13818646642338936</v>
      </c>
      <c r="J13" t="s">
        <v>101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7" t="s">
        <v>49</v>
      </c>
      <c r="B14" s="30">
        <v>0.4</v>
      </c>
      <c r="C14" s="29">
        <f ca="1">spr</f>
        <v>0.27051004013116176</v>
      </c>
      <c r="J14" t="s">
        <v>102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6" t="s">
        <v>50</v>
      </c>
      <c r="C15" s="26">
        <f ca="1">CHOOSE(C25,SUMXMY2(B14,C14),SUMXMY2(B7,C7))</f>
        <v>1.6767649706833344E-2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7">
        <v>1000000</v>
      </c>
      <c r="E18">
        <v>82</v>
      </c>
      <c r="F18" s="31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103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Selectivities!A14</f>
        <v>2.9399479121449108</v>
      </c>
      <c r="H19" s="3">
        <f>Selectivities!B14</f>
        <v>0.36842659880385265</v>
      </c>
      <c r="I19" s="7">
        <v>0.1</v>
      </c>
      <c r="J19" s="8" t="s">
        <v>104</v>
      </c>
      <c r="K19" s="4">
        <f t="shared" si="12"/>
        <v>9.636875011723646E-3</v>
      </c>
      <c r="L19" s="4">
        <f t="shared" si="12"/>
        <v>0.10338686902535378</v>
      </c>
      <c r="M19" s="4">
        <f t="shared" si="12"/>
        <v>0.589001485167303</v>
      </c>
      <c r="N19" s="4">
        <f t="shared" si="12"/>
        <v>0.78620176980219625</v>
      </c>
      <c r="O19" s="4">
        <f t="shared" si="12"/>
        <v>0.63095504027275773</v>
      </c>
      <c r="P19" s="4">
        <f t="shared" ref="P19:Y19" si="14">((EXP(g*(ah-age)/gh)/(1+EXP((ah-age)/gh))) *(1/(1-g))*((1-g)/g)^g) *(sr_2+(1-sr_2)*dmr)</f>
        <v>0.48244868920073086</v>
      </c>
      <c r="Q19" s="4">
        <f t="shared" si="14"/>
        <v>0.36785203592790405</v>
      </c>
      <c r="R19" s="4">
        <f t="shared" si="14"/>
        <v>0.28041526174778192</v>
      </c>
      <c r="S19" s="4">
        <f t="shared" si="14"/>
        <v>0.21375876430078386</v>
      </c>
      <c r="T19" s="4">
        <f t="shared" si="14"/>
        <v>0.16294678762579537</v>
      </c>
      <c r="U19" s="4">
        <f t="shared" si="14"/>
        <v>0.12421317095808988</v>
      </c>
      <c r="V19" s="4">
        <f t="shared" si="14"/>
        <v>9.468681156724619E-2</v>
      </c>
      <c r="W19" s="4">
        <f t="shared" si="14"/>
        <v>7.2179079023195716E-2</v>
      </c>
      <c r="X19" s="4">
        <f t="shared" si="14"/>
        <v>5.5021595534920462E-2</v>
      </c>
      <c r="Y19" s="4">
        <f t="shared" si="14"/>
        <v>4.1942568624929691E-2</v>
      </c>
      <c r="Z19" s="4">
        <f>Y19</f>
        <v>4.1942568624929691E-2</v>
      </c>
      <c r="AA19" s="4">
        <f t="shared" ref="AA19:AI20" si="15">Z19</f>
        <v>4.1942568624929691E-2</v>
      </c>
      <c r="AB19" s="4">
        <f t="shared" si="15"/>
        <v>4.1942568624929691E-2</v>
      </c>
      <c r="AC19" s="4">
        <f t="shared" si="15"/>
        <v>4.1942568624929691E-2</v>
      </c>
      <c r="AD19" s="4">
        <f t="shared" si="15"/>
        <v>4.1942568624929691E-2</v>
      </c>
      <c r="AE19" s="4">
        <f t="shared" si="15"/>
        <v>4.1942568624929691E-2</v>
      </c>
      <c r="AF19" s="4">
        <f t="shared" si="15"/>
        <v>4.1942568624929691E-2</v>
      </c>
      <c r="AG19" s="4">
        <f t="shared" si="15"/>
        <v>4.1942568624929691E-2</v>
      </c>
      <c r="AH19" s="4">
        <f t="shared" si="15"/>
        <v>4.1942568624929691E-2</v>
      </c>
      <c r="AI19" s="4">
        <f t="shared" si="15"/>
        <v>4.1942568624929691E-2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105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199.30493904055479</v>
      </c>
      <c r="J22" s="8" t="s">
        <v>23</v>
      </c>
      <c r="K22" s="1">
        <f t="shared" ref="K22:AI22" ca="1" si="17">wa*flt1_*(1-EXP(-za))/za</f>
        <v>1.8351098244053905E-7</v>
      </c>
      <c r="L22" s="1">
        <f t="shared" ca="1" si="17"/>
        <v>3.0937718281545816E-6</v>
      </c>
      <c r="M22" s="1">
        <f t="shared" ca="1" si="17"/>
        <v>2.3698198622726691E-5</v>
      </c>
      <c r="N22" s="1">
        <f t="shared" ca="1" si="17"/>
        <v>1.3046088794965697E-4</v>
      </c>
      <c r="O22" s="1">
        <f t="shared" ca="1" si="17"/>
        <v>6.0480332449361655E-4</v>
      </c>
      <c r="P22" s="1">
        <f t="shared" ca="1" si="17"/>
        <v>3.4860523492185342E-3</v>
      </c>
      <c r="Q22" s="1">
        <f t="shared" ca="1" si="17"/>
        <v>4.6056128090599183E-2</v>
      </c>
      <c r="R22" s="1">
        <f t="shared" ca="1" si="17"/>
        <v>0.19347669815825191</v>
      </c>
      <c r="S22" s="1">
        <f t="shared" ca="1" si="17"/>
        <v>0.63706057480121547</v>
      </c>
      <c r="T22" s="1">
        <f t="shared" ca="1" si="17"/>
        <v>1.9461545461328735</v>
      </c>
      <c r="U22" s="1">
        <f t="shared" ca="1" si="17"/>
        <v>5.3693801397708647</v>
      </c>
      <c r="V22" s="1">
        <f t="shared" ca="1" si="17"/>
        <v>12.582208400613185</v>
      </c>
      <c r="W22" s="1">
        <f t="shared" ca="1" si="17"/>
        <v>23.570476962972091</v>
      </c>
      <c r="X22" s="1">
        <f t="shared" ca="1" si="17"/>
        <v>35.350493334997978</v>
      </c>
      <c r="Y22" s="1">
        <f t="shared" ca="1" si="17"/>
        <v>45.332107933817163</v>
      </c>
      <c r="Z22" s="1">
        <f t="shared" ca="1" si="17"/>
        <v>53.252658838112374</v>
      </c>
      <c r="AA22" s="1">
        <f t="shared" ca="1" si="17"/>
        <v>59.878436234321342</v>
      </c>
      <c r="AB22" s="1">
        <f t="shared" ca="1" si="17"/>
        <v>65.795484656367037</v>
      </c>
      <c r="AC22" s="1">
        <f t="shared" ca="1" si="17"/>
        <v>71.311085911280117</v>
      </c>
      <c r="AD22" s="1">
        <f t="shared" ca="1" si="17"/>
        <v>76.559712099018711</v>
      </c>
      <c r="AE22" s="1">
        <f t="shared" ca="1" si="17"/>
        <v>81.592459031391726</v>
      </c>
      <c r="AF22" s="1">
        <f t="shared" ca="1" si="17"/>
        <v>86.424761670817048</v>
      </c>
      <c r="AG22" s="1">
        <f t="shared" ca="1" si="17"/>
        <v>91.05851192966135</v>
      </c>
      <c r="AH22" s="1">
        <f t="shared" ca="1" si="17"/>
        <v>95.491613180881799</v>
      </c>
      <c r="AI22" s="1">
        <f t="shared" ca="1" si="17"/>
        <v>99.721847927842106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8">wa*flt2_*(1-EXP(-za))/za</f>
        <v>6.3150850871281094E-4</v>
      </c>
      <c r="L23" s="1">
        <f t="shared" ca="1" si="18"/>
        <v>4.4520585003543854E-2</v>
      </c>
      <c r="M23" s="1">
        <f t="shared" ca="1" si="18"/>
        <v>0.75732686538792737</v>
      </c>
      <c r="N23" s="1">
        <f t="shared" ca="1" si="18"/>
        <v>2.1692473977616284</v>
      </c>
      <c r="O23" s="1">
        <f t="shared" ca="1" si="18"/>
        <v>3.1206080885257923</v>
      </c>
      <c r="P23" s="1">
        <f t="shared" ca="1" si="18"/>
        <v>3.7830583646842451</v>
      </c>
      <c r="Q23" s="1">
        <f t="shared" ca="1" si="18"/>
        <v>4.1732151601972998</v>
      </c>
      <c r="R23" s="1">
        <f t="shared" ca="1" si="18"/>
        <v>4.3236654467271514</v>
      </c>
      <c r="S23" s="1">
        <f t="shared" ca="1" si="18"/>
        <v>4.2824306391872673</v>
      </c>
      <c r="T23" s="1">
        <f t="shared" ca="1" si="18"/>
        <v>4.0793772082211603</v>
      </c>
      <c r="U23" s="1">
        <f t="shared" ca="1" si="18"/>
        <v>3.7509610967421323</v>
      </c>
      <c r="V23" s="1">
        <f t="shared" ca="1" si="18"/>
        <v>3.3385376203623136</v>
      </c>
      <c r="W23" s="1">
        <f t="shared" ca="1" si="18"/>
        <v>2.896300526878409</v>
      </c>
      <c r="X23" s="1">
        <f t="shared" ca="1" si="18"/>
        <v>2.477430030705337</v>
      </c>
      <c r="Y23" s="1">
        <f t="shared" ca="1" si="18"/>
        <v>2.1040823745693871</v>
      </c>
      <c r="Z23" s="1">
        <f t="shared" ca="1" si="18"/>
        <v>2.3262622468346019</v>
      </c>
      <c r="AA23" s="1">
        <f t="shared" ca="1" si="18"/>
        <v>2.5519667741937462</v>
      </c>
      <c r="AB23" s="1">
        <f t="shared" ca="1" si="18"/>
        <v>2.7768660785156594</v>
      </c>
      <c r="AC23" s="1">
        <f t="shared" ca="1" si="18"/>
        <v>2.9981421800197454</v>
      </c>
      <c r="AD23" s="1">
        <f t="shared" ca="1" si="18"/>
        <v>3.214014241465263</v>
      </c>
      <c r="AE23" s="1">
        <f t="shared" ca="1" si="18"/>
        <v>3.423318757864338</v>
      </c>
      <c r="AF23" s="1">
        <f t="shared" ca="1" si="18"/>
        <v>3.6252709653995421</v>
      </c>
      <c r="AG23" s="1">
        <f t="shared" ca="1" si="18"/>
        <v>3.819339845054901</v>
      </c>
      <c r="AH23" s="1">
        <f t="shared" ca="1" si="18"/>
        <v>4.0051800758542067</v>
      </c>
      <c r="AI23" s="1">
        <f t="shared" ca="1" si="18"/>
        <v>4.1825909374229049</v>
      </c>
      <c r="AM23" s="43"/>
    </row>
    <row r="24" spans="1:39">
      <c r="A24" t="s">
        <v>125</v>
      </c>
      <c r="B24" s="31">
        <v>0.16405328226882354</v>
      </c>
      <c r="J24" s="8" t="s">
        <v>25</v>
      </c>
      <c r="K24" s="1">
        <f t="shared" ref="K24:AI24" ca="1" si="19">wa*flt3_*(1-EXP(-za))/za</f>
        <v>1.4751301091454431E-6</v>
      </c>
      <c r="L24" s="1">
        <f t="shared" ca="1" si="19"/>
        <v>3.4721110508907636E-5</v>
      </c>
      <c r="M24" s="1">
        <f t="shared" ca="1" si="19"/>
        <v>3.7049046125873337E-4</v>
      </c>
      <c r="N24" s="1">
        <f t="shared" ca="1" si="19"/>
        <v>2.8170764468179641E-3</v>
      </c>
      <c r="O24" s="1">
        <f t="shared" ca="1" si="19"/>
        <v>1.803885273651254E-2</v>
      </c>
      <c r="P24" s="1">
        <f t="shared" ca="1" si="19"/>
        <v>0.27033130955510204</v>
      </c>
      <c r="Q24" s="1">
        <f t="shared" ca="1" si="19"/>
        <v>5.9888769145361884</v>
      </c>
      <c r="R24" s="1">
        <f t="shared" ca="1" si="19"/>
        <v>14.488857070918796</v>
      </c>
      <c r="S24" s="1">
        <f t="shared" ca="1" si="19"/>
        <v>19.955869436791474</v>
      </c>
      <c r="T24" s="1">
        <f t="shared" ca="1" si="19"/>
        <v>23.413289471461802</v>
      </c>
      <c r="U24" s="1">
        <f t="shared" ca="1" si="19"/>
        <v>25.664257721594058</v>
      </c>
      <c r="V24" s="1">
        <f t="shared" ca="1" si="19"/>
        <v>27.003080406448547</v>
      </c>
      <c r="W24" s="1">
        <f t="shared" ca="1" si="19"/>
        <v>27.634445008403787</v>
      </c>
      <c r="X24" s="1">
        <f t="shared" ca="1" si="19"/>
        <v>27.869383256688131</v>
      </c>
      <c r="Y24" s="1">
        <f t="shared" ca="1" si="19"/>
        <v>27.902912633306347</v>
      </c>
      <c r="Z24" s="1">
        <f t="shared" ca="1" si="19"/>
        <v>30.84931132930047</v>
      </c>
      <c r="AA24" s="1">
        <f t="shared" ca="1" si="19"/>
        <v>33.842451609339548</v>
      </c>
      <c r="AB24" s="1">
        <f t="shared" ca="1" si="19"/>
        <v>36.824913567878603</v>
      </c>
      <c r="AC24" s="1">
        <f t="shared" ca="1" si="19"/>
        <v>39.759327069332286</v>
      </c>
      <c r="AD24" s="1">
        <f t="shared" ca="1" si="19"/>
        <v>42.622075858679828</v>
      </c>
      <c r="AE24" s="1">
        <f t="shared" ca="1" si="19"/>
        <v>45.397730322319852</v>
      </c>
      <c r="AF24" s="1">
        <f t="shared" ca="1" si="19"/>
        <v>48.075883455041854</v>
      </c>
      <c r="AG24" s="1">
        <f t="shared" ca="1" si="19"/>
        <v>50.649493243002439</v>
      </c>
      <c r="AH24" s="1">
        <f t="shared" ca="1" si="19"/>
        <v>53.113980273747977</v>
      </c>
      <c r="AI24" s="1">
        <f t="shared" ca="1" si="19"/>
        <v>55.466682729878812</v>
      </c>
      <c r="AM24" s="44"/>
    </row>
    <row r="25" spans="1:39">
      <c r="A25" s="40"/>
      <c r="B25" s="40" t="s">
        <v>97</v>
      </c>
      <c r="C25" s="40">
        <v>1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F26" t="s">
        <v>141</v>
      </c>
      <c r="J26" s="8" t="s">
        <v>30</v>
      </c>
      <c r="K26">
        <f ca="1">qa1_/wa</f>
        <v>2.5996987369044693E-6</v>
      </c>
      <c r="L26">
        <f t="shared" ref="L26:AI26" ca="1" si="20">qa1_/wa</f>
        <v>6.6500424925529493E-6</v>
      </c>
      <c r="M26">
        <f t="shared" ca="1" si="20"/>
        <v>1.6803949205428289E-5</v>
      </c>
      <c r="N26">
        <f t="shared" ca="1" si="20"/>
        <v>4.2845633586895399E-5</v>
      </c>
      <c r="O26">
        <f t="shared" ca="1" si="20"/>
        <v>1.1133952414809088E-4</v>
      </c>
      <c r="P26">
        <f t="shared" ca="1" si="20"/>
        <v>4.0649301394806684E-4</v>
      </c>
      <c r="Q26">
        <f t="shared" ca="1" si="20"/>
        <v>3.7026933795604685E-3</v>
      </c>
      <c r="R26">
        <f t="shared" ca="1" si="20"/>
        <v>1.1411887344987746E-2</v>
      </c>
      <c r="S26">
        <f t="shared" ca="1" si="20"/>
        <v>2.8905659161227254E-2</v>
      </c>
      <c r="T26">
        <f t="shared" ca="1" si="20"/>
        <v>7.0504330963880452E-2</v>
      </c>
      <c r="U26">
        <f t="shared" ca="1" si="20"/>
        <v>0.16002834112148739</v>
      </c>
      <c r="V26">
        <f t="shared" ca="1" si="20"/>
        <v>0.31616559122896887</v>
      </c>
      <c r="W26">
        <f t="shared" ca="1" si="20"/>
        <v>0.5096514650359254</v>
      </c>
      <c r="X26">
        <f t="shared" ca="1" si="20"/>
        <v>0.66913864416634183</v>
      </c>
      <c r="Y26">
        <f t="shared" ca="1" si="20"/>
        <v>0.7622617970340122</v>
      </c>
      <c r="Z26">
        <f t="shared" ca="1" si="20"/>
        <v>0.80553789829069189</v>
      </c>
      <c r="AA26">
        <f t="shared" ca="1" si="20"/>
        <v>0.82375806208350921</v>
      </c>
      <c r="AB26">
        <f t="shared" ca="1" si="20"/>
        <v>0.83107994828762077</v>
      </c>
      <c r="AC26">
        <f t="shared" ca="1" si="20"/>
        <v>0.83396472512741937</v>
      </c>
      <c r="AD26">
        <f t="shared" ca="1" si="20"/>
        <v>0.83509017378604555</v>
      </c>
      <c r="AE26">
        <f t="shared" ca="1" si="20"/>
        <v>0.83552528275119964</v>
      </c>
      <c r="AF26">
        <f t="shared" ca="1" si="20"/>
        <v>0.83569061465299677</v>
      </c>
      <c r="AG26">
        <f t="shared" ca="1" si="20"/>
        <v>0.8357506886923638</v>
      </c>
      <c r="AH26">
        <f t="shared" ca="1" si="20"/>
        <v>0.8357697202394091</v>
      </c>
      <c r="AI26">
        <f t="shared" ca="1" si="20"/>
        <v>0.8357727522634687</v>
      </c>
      <c r="AM26" s="44"/>
    </row>
    <row r="27" spans="1:39">
      <c r="A27" t="s">
        <v>14</v>
      </c>
      <c r="B27" s="28">
        <f ca="1">fbar*C27</f>
        <v>0.20426434232222523</v>
      </c>
      <c r="C27" s="36">
        <f ca="1">CHOOSE(C$25,E36,E39,1)</f>
        <v>2.0971371284395381</v>
      </c>
      <c r="E27" s="42">
        <f ca="1">f1_/(F4/(f1_*365*re*phib))</f>
        <v>245.33035775160056</v>
      </c>
      <c r="F27" s="107">
        <f ca="1">F4/E27</f>
        <v>118.18897919063804</v>
      </c>
      <c r="J27" s="8" t="s">
        <v>31</v>
      </c>
      <c r="K27">
        <f t="shared" ref="K27:AI27" ca="1" si="21">qa2_/wa</f>
        <v>8.9462322669275184E-3</v>
      </c>
      <c r="L27">
        <f t="shared" ca="1" si="21"/>
        <v>9.5696708908065364E-2</v>
      </c>
      <c r="M27">
        <f t="shared" ca="1" si="21"/>
        <v>0.53700630923401005</v>
      </c>
      <c r="N27">
        <f t="shared" ca="1" si="21"/>
        <v>0.71241872276453</v>
      </c>
      <c r="O27">
        <f t="shared" ca="1" si="21"/>
        <v>0.57447934817496582</v>
      </c>
      <c r="P27">
        <f t="shared" ca="1" si="21"/>
        <v>0.44112556053458818</v>
      </c>
      <c r="Q27">
        <f t="shared" ca="1" si="21"/>
        <v>0.33550662606173265</v>
      </c>
      <c r="R27">
        <f t="shared" ca="1" si="21"/>
        <v>0.25502390450713786</v>
      </c>
      <c r="S27">
        <f t="shared" ca="1" si="21"/>
        <v>0.19430880725364194</v>
      </c>
      <c r="T27">
        <f t="shared" ca="1" si="21"/>
        <v>0.14778567374643561</v>
      </c>
      <c r="U27">
        <f t="shared" ca="1" si="21"/>
        <v>0.1117931802735975</v>
      </c>
      <c r="V27">
        <f t="shared" ca="1" si="21"/>
        <v>8.38907357893202E-2</v>
      </c>
      <c r="W27">
        <f t="shared" ca="1" si="21"/>
        <v>6.2625113994374426E-2</v>
      </c>
      <c r="X27">
        <f t="shared" ca="1" si="21"/>
        <v>4.6894513070965683E-2</v>
      </c>
      <c r="Y27">
        <f t="shared" ca="1" si="21"/>
        <v>3.5380256622710292E-2</v>
      </c>
      <c r="Z27">
        <f t="shared" ca="1" si="21"/>
        <v>3.5188710612267166E-2</v>
      </c>
      <c r="AA27">
        <f t="shared" ca="1" si="21"/>
        <v>3.5107850782622747E-2</v>
      </c>
      <c r="AB27">
        <f t="shared" ca="1" si="21"/>
        <v>3.5075320578417786E-2</v>
      </c>
      <c r="AC27">
        <f t="shared" ca="1" si="21"/>
        <v>3.5062498167028749E-2</v>
      </c>
      <c r="AD27">
        <f t="shared" ca="1" si="21"/>
        <v>3.5057494834681506E-2</v>
      </c>
      <c r="AE27">
        <f t="shared" ca="1" si="21"/>
        <v>3.505556036755348E-2</v>
      </c>
      <c r="AF27">
        <f t="shared" ca="1" si="21"/>
        <v>3.5054825292985557E-2</v>
      </c>
      <c r="AG27">
        <f t="shared" ca="1" si="21"/>
        <v>3.5054558197925634E-2</v>
      </c>
      <c r="AH27">
        <f t="shared" ca="1" si="21"/>
        <v>3.505447358151139E-2</v>
      </c>
      <c r="AI27">
        <f t="shared" ca="1" si="21"/>
        <v>3.5054460100775897E-2</v>
      </c>
    </row>
    <row r="28" spans="1:39">
      <c r="A28" t="s">
        <v>15</v>
      </c>
      <c r="B28" s="28">
        <f ca="1">fbar*C28</f>
        <v>6.4116176633188096E-2</v>
      </c>
      <c r="C28" s="36">
        <f ca="1">CHOOSE(C$25,E37,E40,1)</f>
        <v>0.65826670001431831</v>
      </c>
      <c r="E28" s="42">
        <f ca="1">f2_/(F5/(f2_*365*re*phib))</f>
        <v>125.22357203548579</v>
      </c>
      <c r="F28" s="107">
        <f t="shared" ref="F28:F29" ca="1" si="22">F5/E28</f>
        <v>44.694851963265464</v>
      </c>
      <c r="J28" s="8" t="s">
        <v>32</v>
      </c>
      <c r="K28">
        <f t="shared" ref="K28:AI28" ca="1" si="23">qa3_/wa</f>
        <v>2.0897353556252343E-5</v>
      </c>
      <c r="L28">
        <f t="shared" ca="1" si="23"/>
        <v>7.4632801996452104E-5</v>
      </c>
      <c r="M28">
        <f t="shared" ca="1" si="23"/>
        <v>2.6270785350397782E-4</v>
      </c>
      <c r="N28">
        <f t="shared" ca="1" si="23"/>
        <v>9.2517709425074545E-4</v>
      </c>
      <c r="O28">
        <f t="shared" ca="1" si="23"/>
        <v>3.3208105817579569E-3</v>
      </c>
      <c r="P28">
        <f t="shared" ca="1" si="23"/>
        <v>3.1522128120139888E-2</v>
      </c>
      <c r="Q28">
        <f t="shared" ca="1" si="23"/>
        <v>0.48147718494342884</v>
      </c>
      <c r="R28">
        <f t="shared" ca="1" si="23"/>
        <v>0.85460009512728163</v>
      </c>
      <c r="S28">
        <f t="shared" ca="1" si="23"/>
        <v>0.90546736530641425</v>
      </c>
      <c r="T28">
        <f t="shared" ca="1" si="23"/>
        <v>0.84820515057717127</v>
      </c>
      <c r="U28">
        <f t="shared" ca="1" si="23"/>
        <v>0.7648943606880263</v>
      </c>
      <c r="V28">
        <f t="shared" ca="1" si="23"/>
        <v>0.67853310085788465</v>
      </c>
      <c r="W28">
        <f t="shared" ca="1" si="23"/>
        <v>0.59752441183573779</v>
      </c>
      <c r="X28">
        <f t="shared" ca="1" si="23"/>
        <v>0.52753100641087591</v>
      </c>
      <c r="Y28">
        <f t="shared" ca="1" si="23"/>
        <v>0.4691889544911389</v>
      </c>
      <c r="Z28">
        <f t="shared" ca="1" si="23"/>
        <v>0.46664880128266639</v>
      </c>
      <c r="AA28">
        <f t="shared" ca="1" si="23"/>
        <v>0.4655764930929388</v>
      </c>
      <c r="AB28">
        <f t="shared" ca="1" si="23"/>
        <v>0.46514509959958261</v>
      </c>
      <c r="AC28">
        <f t="shared" ca="1" si="23"/>
        <v>0.46497505748095602</v>
      </c>
      <c r="AD28">
        <f t="shared" ca="1" si="23"/>
        <v>0.46490870668259948</v>
      </c>
      <c r="AE28">
        <f t="shared" ca="1" si="23"/>
        <v>0.46488305309226585</v>
      </c>
      <c r="AF28">
        <f t="shared" ca="1" si="23"/>
        <v>0.46487330503216351</v>
      </c>
      <c r="AG28">
        <f t="shared" ca="1" si="23"/>
        <v>0.46486976299872795</v>
      </c>
      <c r="AH28">
        <f t="shared" ca="1" si="23"/>
        <v>0.46486864087326252</v>
      </c>
      <c r="AI28">
        <f t="shared" ca="1" si="23"/>
        <v>0.46486846210089644</v>
      </c>
    </row>
    <row r="29" spans="1:39">
      <c r="A29" t="s">
        <v>19</v>
      </c>
      <c r="B29" s="28">
        <f ca="1">fbar*C29</f>
        <v>2.3824038703937154E-2</v>
      </c>
      <c r="C29" s="36">
        <f ca="1">CHOOSE(C$25,E38,E41,1)</f>
        <v>0.24459617154614346</v>
      </c>
      <c r="E29" s="42">
        <f ca="1">f3_/(F6/(f3_*365*re*phib))</f>
        <v>15.674376646944802</v>
      </c>
      <c r="F29" s="107">
        <f t="shared" ca="1" si="22"/>
        <v>393.86252508071823</v>
      </c>
    </row>
    <row r="30" spans="1:39">
      <c r="A30" t="s">
        <v>95</v>
      </c>
      <c r="B30" s="28">
        <v>9.7401519219783489E-2</v>
      </c>
      <c r="C30" s="36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0.29220455765935049</v>
      </c>
      <c r="G31">
        <f ca="1">SUMPRODUCT(dlz1_,wa,ma)</f>
        <v>-65.633404637176113</v>
      </c>
      <c r="H31">
        <f ca="1">Ro/(reck-1)*phie/phif^2*dphif</f>
        <v>-8309.1617898782042</v>
      </c>
      <c r="J31" s="8" t="s">
        <v>52</v>
      </c>
      <c r="K31">
        <v>0</v>
      </c>
      <c r="L31">
        <f t="shared" ref="L31:AH31" ca="1" si="24">K31*sa-K$7*K18*K$10</f>
        <v>-2.4088296310313637E-6</v>
      </c>
      <c r="M31">
        <f t="shared" ca="1" si="24"/>
        <v>-7.280349431625792E-6</v>
      </c>
      <c r="N31">
        <f t="shared" ca="1" si="24"/>
        <v>-1.7192702570501231E-5</v>
      </c>
      <c r="O31">
        <f t="shared" ca="1" si="24"/>
        <v>-3.7796309618765754E-5</v>
      </c>
      <c r="P31">
        <f t="shared" ca="1" si="24"/>
        <v>-8.1928513568122916E-5</v>
      </c>
      <c r="Q31">
        <f t="shared" ca="1" si="24"/>
        <v>-2.2077130532509835E-4</v>
      </c>
      <c r="R31">
        <f t="shared" ca="1" si="24"/>
        <v>-1.3394956996573095E-3</v>
      </c>
      <c r="S31">
        <f t="shared" ca="1" si="24"/>
        <v>-4.053256201951131E-3</v>
      </c>
      <c r="T31">
        <f t="shared" ca="1" si="24"/>
        <v>-9.4808579966048617E-3</v>
      </c>
      <c r="U31">
        <f t="shared" ca="1" si="24"/>
        <v>-1.9992132419426874E-2</v>
      </c>
      <c r="V31">
        <f t="shared" ca="1" si="24"/>
        <v>-3.8392170933272608E-2</v>
      </c>
      <c r="W31">
        <f t="shared" ca="1" si="24"/>
        <v>-6.4401557168171836E-2</v>
      </c>
      <c r="X31">
        <f t="shared" ca="1" si="24"/>
        <v>-9.0293277898547644E-2</v>
      </c>
      <c r="Y31">
        <f t="shared" ca="1" si="24"/>
        <v>-0.10586514932451119</v>
      </c>
      <c r="Z31">
        <f t="shared" ca="1" si="24"/>
        <v>-0.10797391437690849</v>
      </c>
      <c r="AA31">
        <f t="shared" ca="1" si="24"/>
        <v>-0.10015762232151727</v>
      </c>
      <c r="AB31">
        <f t="shared" ca="1" si="24"/>
        <v>-8.7257491414769864E-2</v>
      </c>
      <c r="AC31">
        <f t="shared" ca="1" si="24"/>
        <v>-7.2858692021198435E-2</v>
      </c>
      <c r="AD31">
        <f t="shared" ca="1" si="24"/>
        <v>-5.9043195318953967E-2</v>
      </c>
      <c r="AE31">
        <f t="shared" ca="1" si="24"/>
        <v>-4.6808375316417412E-2</v>
      </c>
      <c r="AF31">
        <f t="shared" ca="1" si="24"/>
        <v>-3.6493780791154125E-2</v>
      </c>
      <c r="AG31">
        <f t="shared" ca="1" si="24"/>
        <v>-2.8081257602089606E-2</v>
      </c>
      <c r="AH31">
        <f t="shared" ca="1" si="24"/>
        <v>-2.1380955103389387E-2</v>
      </c>
      <c r="AI31">
        <f ca="1">(AH31*sa-AH$7*AH18*AH$10)/oa-AH$7*AH$10*flt1_*sa/oa^2</f>
        <v>-6.2064998047337304E-2</v>
      </c>
    </row>
    <row r="32" spans="1:39">
      <c r="A32" s="12" t="s">
        <v>22</v>
      </c>
      <c r="B32" s="12"/>
      <c r="C32" s="12"/>
      <c r="G32">
        <f ca="1">SUMPRODUCT(dlz2_,wa,ma)</f>
        <v>-93.215458228014185</v>
      </c>
      <c r="H32">
        <f ca="1">Ro/(reck-1)*phie/phif^2*dphif</f>
        <v>-11801.038328209574</v>
      </c>
      <c r="J32" s="8" t="s">
        <v>53</v>
      </c>
      <c r="K32">
        <v>0</v>
      </c>
      <c r="L32">
        <f t="shared" ref="L32:AH32" ca="1" si="25">K32*sa-K$7*K19*K$10</f>
        <v>-8.2894025622076463E-3</v>
      </c>
      <c r="M32">
        <f t="shared" ca="1" si="25"/>
        <v>-8.2907778787593589E-2</v>
      </c>
      <c r="N32">
        <f t="shared" ca="1" si="25"/>
        <v>-0.42687786349105522</v>
      </c>
      <c r="O32">
        <f t="shared" ca="1" si="25"/>
        <v>-0.74500011358284235</v>
      </c>
      <c r="P32">
        <f t="shared" ca="1" si="25"/>
        <v>-0.88126417028869164</v>
      </c>
      <c r="Q32">
        <f t="shared" ca="1" si="25"/>
        <v>-0.89680079716655003</v>
      </c>
      <c r="R32">
        <f t="shared" ca="1" si="25"/>
        <v>-0.84432753416395234</v>
      </c>
      <c r="S32">
        <f t="shared" ca="1" si="25"/>
        <v>-0.76140627275343165</v>
      </c>
      <c r="T32">
        <f t="shared" ca="1" si="25"/>
        <v>-0.66564874052195944</v>
      </c>
      <c r="U32">
        <f t="shared" ca="1" si="25"/>
        <v>-0.56299507986589226</v>
      </c>
      <c r="V32">
        <f t="shared" ca="1" si="25"/>
        <v>-0.45559925836511511</v>
      </c>
      <c r="W32">
        <f t="shared" ca="1" si="25"/>
        <v>-0.35003407703966877</v>
      </c>
      <c r="X32">
        <f t="shared" ca="1" si="25"/>
        <v>-0.25738774899077305</v>
      </c>
      <c r="Y32">
        <f t="shared" ca="1" si="25"/>
        <v>-0.18424558459584697</v>
      </c>
      <c r="Z32">
        <f t="shared" ca="1" si="25"/>
        <v>-0.12986919312891421</v>
      </c>
      <c r="AA32">
        <f t="shared" ca="1" si="25"/>
        <v>-9.1085382736333001E-2</v>
      </c>
      <c r="AB32">
        <f t="shared" ca="1" si="25"/>
        <v>-6.3749925785942713E-2</v>
      </c>
      <c r="AC32">
        <f t="shared" ca="1" si="25"/>
        <v>-4.4577266341220334E-2</v>
      </c>
      <c r="AD32">
        <f t="shared" ca="1" si="25"/>
        <v>-3.1156964830105039E-2</v>
      </c>
      <c r="AE32">
        <f t="shared" ca="1" si="25"/>
        <v>-2.1771395456565486E-2</v>
      </c>
      <c r="AF32">
        <f t="shared" ca="1" si="25"/>
        <v>-1.5210359174579377E-2</v>
      </c>
      <c r="AG32">
        <f t="shared" ca="1" si="25"/>
        <v>-1.0624984469235805E-2</v>
      </c>
      <c r="AH32">
        <f t="shared" ca="1" si="25"/>
        <v>-7.420938425288179E-3</v>
      </c>
      <c r="AI32">
        <f ca="1">(AH32*sa-AH$7*AH19*AH$10)/oa-AH$7*AH$10*flt2_*sa/oa^2</f>
        <v>-1.7165026227822709E-2</v>
      </c>
    </row>
    <row r="33" spans="1:35">
      <c r="A33" s="59" t="s">
        <v>128</v>
      </c>
      <c r="B33" s="60">
        <f ca="1">SUMPRODUCT(lz*wa)</f>
        <v>61.298342986053797</v>
      </c>
      <c r="C33" s="58"/>
      <c r="G33">
        <f ca="1">SUMPRODUCT(dlz3_,wa,ma)</f>
        <v>-146.20196299449637</v>
      </c>
      <c r="H33">
        <f ca="1">Ro/(reck-1)*phie/phif^2*dphif</f>
        <v>-18509.107842791378</v>
      </c>
      <c r="J33" s="8" t="s">
        <v>54</v>
      </c>
      <c r="K33">
        <v>0</v>
      </c>
      <c r="L33">
        <f t="shared" ref="L33:AH33" ca="1" si="26">K33*sa-K$7*K20*K$10</f>
        <v>-1.9363076091031334E-5</v>
      </c>
      <c r="M33">
        <f t="shared" ca="1" si="26"/>
        <v>-7.5348950981215864E-5</v>
      </c>
      <c r="N33">
        <f t="shared" ca="1" si="26"/>
        <v>-2.3730300078279439E-4</v>
      </c>
      <c r="O33">
        <f t="shared" ca="1" si="26"/>
        <v>-7.0544255540855414E-4</v>
      </c>
      <c r="P33">
        <f t="shared" ca="1" si="26"/>
        <v>-2.0918728216884558E-3</v>
      </c>
      <c r="Q33">
        <f t="shared" ca="1" si="26"/>
        <v>-1.3585428454850926E-2</v>
      </c>
      <c r="R33">
        <f t="shared" ca="1" si="26"/>
        <v>-0.16171136200377578</v>
      </c>
      <c r="S33">
        <f t="shared" ca="1" si="26"/>
        <v>-0.35411218793994265</v>
      </c>
      <c r="T33">
        <f t="shared" ca="1" si="26"/>
        <v>-0.48321628533265515</v>
      </c>
      <c r="U33">
        <f t="shared" ca="1" si="26"/>
        <v>-0.53839574809920265</v>
      </c>
      <c r="V33">
        <f t="shared" ca="1" si="26"/>
        <v>-0.52935152786732664</v>
      </c>
      <c r="W33">
        <f t="shared" ca="1" si="26"/>
        <v>-0.47231465926408406</v>
      </c>
      <c r="X33">
        <f t="shared" ca="1" si="26"/>
        <v>-0.39152444871989367</v>
      </c>
      <c r="Y33">
        <f t="shared" ca="1" si="26"/>
        <v>-0.30908273930030239</v>
      </c>
      <c r="Z33">
        <f t="shared" ca="1" si="26"/>
        <v>-0.23628689707169578</v>
      </c>
      <c r="AA33">
        <f t="shared" ca="1" si="26"/>
        <v>-0.1783929741168748</v>
      </c>
      <c r="AB33">
        <f t="shared" ca="1" si="26"/>
        <v>-0.13352745593226825</v>
      </c>
      <c r="AC33">
        <f t="shared" ca="1" si="26"/>
        <v>-9.9293361760058596E-2</v>
      </c>
      <c r="AD33">
        <f t="shared" ca="1" si="26"/>
        <v>-7.3444763356574294E-2</v>
      </c>
      <c r="AE33">
        <f t="shared" ca="1" si="26"/>
        <v>-5.4081292636935362E-2</v>
      </c>
      <c r="AF33">
        <f t="shared" ca="1" si="26"/>
        <v>-3.9667784363225891E-2</v>
      </c>
      <c r="AG33">
        <f t="shared" ca="1" si="26"/>
        <v>-2.8995834892935397E-2</v>
      </c>
      <c r="AH33">
        <f t="shared" ca="1" si="26"/>
        <v>-2.1130243247721996E-2</v>
      </c>
      <c r="AI33">
        <f ca="1">(AH33*sa-AH$7*AH20*AH$10)/oa-AH$7*AH$10*flt3_*sa/oa^2</f>
        <v>-5.5140214108560313E-2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26.797082689185267</v>
      </c>
      <c r="F35" s="37"/>
      <c r="G35" s="1">
        <f ca="1">SUM(dqa11_)</f>
        <v>858.70581242522746</v>
      </c>
      <c r="H35" s="1">
        <f ca="1">SUM(dqa12_)</f>
        <v>864.97062128871664</v>
      </c>
      <c r="I35" s="11">
        <f ca="1">SUM(dqa13_)</f>
        <v>859.98956097357382</v>
      </c>
      <c r="J35" s="8" t="s">
        <v>62</v>
      </c>
      <c r="K35">
        <f ca="1">flt1_*qa1_+lz*wa*flt1_^2/za*(sa-oa/za)</f>
        <v>2.6339935062038465E-13</v>
      </c>
      <c r="L35">
        <f t="shared" ref="L35:AI35" ca="1" si="27">flt1_*qa1_+lz*wa*flt1_^2/za*(sa-oa/za)</f>
        <v>1.2916901644569536E-11</v>
      </c>
      <c r="M35">
        <f t="shared" ca="1" si="27"/>
        <v>2.8118596512258161E-10</v>
      </c>
      <c r="N35">
        <f t="shared" ca="1" si="27"/>
        <v>4.3513045942262031E-9</v>
      </c>
      <c r="O35">
        <f t="shared" ca="1" si="27"/>
        <v>5.6097206402608956E-8</v>
      </c>
      <c r="P35">
        <f t="shared" ca="1" si="27"/>
        <v>1.2399966037093565E-6</v>
      </c>
      <c r="Q35">
        <f t="shared" ca="1" si="27"/>
        <v>1.5583857829291463E-4</v>
      </c>
      <c r="R35">
        <f t="shared" ca="1" si="27"/>
        <v>2.0927946389505681E-3</v>
      </c>
      <c r="S35">
        <f t="shared" ca="1" si="27"/>
        <v>1.7953659491937016E-2</v>
      </c>
      <c r="T35">
        <f t="shared" ca="1" si="27"/>
        <v>0.13712518454553632</v>
      </c>
      <c r="U35">
        <f t="shared" ca="1" si="27"/>
        <v>0.88163503058055759</v>
      </c>
      <c r="V35">
        <f t="shared" ca="1" si="27"/>
        <v>4.2142381962711699</v>
      </c>
      <c r="W35">
        <f t="shared" ca="1" si="27"/>
        <v>13.186295287025985</v>
      </c>
      <c r="X35">
        <f t="shared" ca="1" si="27"/>
        <v>26.772738026990652</v>
      </c>
      <c r="Y35">
        <f t="shared" ca="1" si="27"/>
        <v>39.925706763645131</v>
      </c>
      <c r="Z35">
        <f t="shared" ca="1" si="27"/>
        <v>50.219301494492271</v>
      </c>
      <c r="AA35">
        <f t="shared" ca="1" si="27"/>
        <v>58.197466562537358</v>
      </c>
      <c r="AB35">
        <f t="shared" ca="1" si="27"/>
        <v>64.825788314375899</v>
      </c>
      <c r="AC35">
        <f t="shared" ca="1" si="27"/>
        <v>70.718253005338639</v>
      </c>
      <c r="AD35">
        <f t="shared" ca="1" si="27"/>
        <v>76.17688963729745</v>
      </c>
      <c r="AE35">
        <f t="shared" ca="1" si="27"/>
        <v>81.334705000252754</v>
      </c>
      <c r="AF35">
        <f t="shared" ca="1" si="27"/>
        <v>86.246317462874188</v>
      </c>
      <c r="AG35">
        <f t="shared" ca="1" si="27"/>
        <v>90.932833458897647</v>
      </c>
      <c r="AH35">
        <f t="shared" ca="1" si="27"/>
        <v>95.402131258024042</v>
      </c>
      <c r="AI35">
        <f t="shared" ca="1" si="27"/>
        <v>99.514184148629525</v>
      </c>
    </row>
    <row r="36" spans="1:35">
      <c r="A36" t="s">
        <v>33</v>
      </c>
      <c r="B36" s="1">
        <f ca="1">SUMPRODUCT(lz,ta1_)</f>
        <v>0.33487673160524306</v>
      </c>
      <c r="C36" s="29">
        <f ca="1">B11/(phi_t1/SUM(B$36:B$38))</f>
        <v>3.2029196124697448</v>
      </c>
      <c r="E36" s="38">
        <f ca="1">C36/AVERAGE(C$36:C$38)</f>
        <v>2.0971371284395381</v>
      </c>
      <c r="G36" s="1">
        <f ca="1">SUM(dqa21_)</f>
        <v>864.97062128871664</v>
      </c>
      <c r="H36" s="1">
        <f ca="1">SUM(dqa22_)</f>
        <v>10.702658620517569</v>
      </c>
      <c r="I36" s="11">
        <f ca="1">SUM(dqa23_)</f>
        <v>863.03917324518704</v>
      </c>
      <c r="J36" s="8" t="s">
        <v>63</v>
      </c>
      <c r="K36">
        <f t="shared" ref="K36:AI36" ca="1" si="28">flt2_*qa2_+lz*wa*flt2_^2/za*(sa-oa/za)</f>
        <v>3.1192414427675231E-6</v>
      </c>
      <c r="L36">
        <f t="shared" ca="1" si="28"/>
        <v>2.6748751522314264E-3</v>
      </c>
      <c r="M36">
        <f t="shared" ca="1" si="28"/>
        <v>0.28716380295034605</v>
      </c>
      <c r="N36">
        <f t="shared" ca="1" si="28"/>
        <v>1.2030314898223398</v>
      </c>
      <c r="O36">
        <f t="shared" ca="1" si="28"/>
        <v>1.4934522945700031</v>
      </c>
      <c r="P36">
        <f t="shared" ca="1" si="28"/>
        <v>1.4602888521409372</v>
      </c>
      <c r="Q36">
        <f t="shared" ca="1" si="28"/>
        <v>1.2795040994728102</v>
      </c>
      <c r="R36">
        <f t="shared" ca="1" si="28"/>
        <v>1.0451375318070086</v>
      </c>
      <c r="S36">
        <f t="shared" ca="1" si="28"/>
        <v>0.81128267387633579</v>
      </c>
      <c r="T36">
        <f t="shared" ca="1" si="28"/>
        <v>0.60249064119994766</v>
      </c>
      <c r="U36">
        <f t="shared" ca="1" si="28"/>
        <v>0.43025473005377596</v>
      </c>
      <c r="V36">
        <f t="shared" ca="1" si="28"/>
        <v>0.29670022769735166</v>
      </c>
      <c r="W36">
        <f t="shared" ca="1" si="28"/>
        <v>0.19910093602573659</v>
      </c>
      <c r="X36">
        <f t="shared" ca="1" si="28"/>
        <v>0.13149360310851857</v>
      </c>
      <c r="Y36">
        <f t="shared" ca="1" si="28"/>
        <v>8.6013428945154916E-2</v>
      </c>
      <c r="Z36">
        <f t="shared" ca="1" si="28"/>
        <v>9.5830867588318741E-2</v>
      </c>
      <c r="AA36">
        <f t="shared" ca="1" si="28"/>
        <v>0.10570930342227491</v>
      </c>
      <c r="AB36">
        <f t="shared" ca="1" si="28"/>
        <v>0.11546902444492391</v>
      </c>
      <c r="AC36">
        <f t="shared" ca="1" si="28"/>
        <v>0.1250034135251947</v>
      </c>
      <c r="AD36">
        <f t="shared" ca="1" si="28"/>
        <v>0.13425122169258091</v>
      </c>
      <c r="AE36">
        <f t="shared" ca="1" si="28"/>
        <v>0.14317610092907773</v>
      </c>
      <c r="AF36">
        <f t="shared" ca="1" si="28"/>
        <v>0.15175573941691953</v>
      </c>
      <c r="AG36">
        <f t="shared" ca="1" si="28"/>
        <v>0.15997651566533336</v>
      </c>
      <c r="AH36">
        <f t="shared" ca="1" si="28"/>
        <v>0.16783081776495865</v>
      </c>
      <c r="AI36">
        <f t="shared" ca="1" si="28"/>
        <v>0.17506331000404829</v>
      </c>
    </row>
    <row r="37" spans="1:35">
      <c r="A37" t="s">
        <v>34</v>
      </c>
      <c r="B37" s="1">
        <f ca="1">SUMPRODUCT(lz,ta2_)</f>
        <v>1.6957583770023805</v>
      </c>
      <c r="C37" s="29">
        <f ca="1">B12/(phi_t2/SUM(B$36:B$38))</f>
        <v>1.0053588270979792</v>
      </c>
      <c r="E37" s="38">
        <f ca="1">C37/AVERAGE(C$36:C$38)</f>
        <v>0.65826670001431831</v>
      </c>
      <c r="G37" s="1">
        <f ca="1">SUM(dqa31_)</f>
        <v>859.98956097357382</v>
      </c>
      <c r="H37" s="1">
        <f ca="1">SUM(dqa32_)</f>
        <v>863.03917324518704</v>
      </c>
      <c r="I37" s="1">
        <f ca="1">SUM(dqa33_)</f>
        <v>382.93381760638749</v>
      </c>
      <c r="J37" s="8" t="s">
        <v>64</v>
      </c>
      <c r="K37">
        <f t="shared" ref="K37:AI37" ca="1" si="29">flt3_*qa3_+lz*wa*flt3_^2/za*(sa-oa/za)</f>
        <v>1.7019673895162185E-11</v>
      </c>
      <c r="L37">
        <f t="shared" ca="1" si="29"/>
        <v>1.6269305185005204E-9</v>
      </c>
      <c r="M37">
        <f t="shared" ca="1" si="29"/>
        <v>6.8725361293885652E-8</v>
      </c>
      <c r="N37">
        <f t="shared" ca="1" si="29"/>
        <v>2.0288787345588002E-6</v>
      </c>
      <c r="O37">
        <f t="shared" ca="1" si="29"/>
        <v>4.9903467248432084E-5</v>
      </c>
      <c r="P37">
        <f t="shared" ca="1" si="29"/>
        <v>7.4566778910543259E-3</v>
      </c>
      <c r="Q37">
        <f t="shared" ca="1" si="29"/>
        <v>2.6350623979831953</v>
      </c>
      <c r="R37">
        <f t="shared" ca="1" si="29"/>
        <v>11.736471168604222</v>
      </c>
      <c r="S37">
        <f t="shared" ca="1" si="29"/>
        <v>17.617035667331262</v>
      </c>
      <c r="T37">
        <f t="shared" ca="1" si="29"/>
        <v>19.84666065697391</v>
      </c>
      <c r="U37">
        <f t="shared" ca="1" si="29"/>
        <v>20.141784701167378</v>
      </c>
      <c r="V37">
        <f t="shared" ca="1" si="29"/>
        <v>19.410286688320657</v>
      </c>
      <c r="W37">
        <f t="shared" ca="1" si="29"/>
        <v>18.125397892974025</v>
      </c>
      <c r="X37">
        <f t="shared" ca="1" si="29"/>
        <v>16.640123545108217</v>
      </c>
      <c r="Y37">
        <f t="shared" ca="1" si="29"/>
        <v>15.126549156473457</v>
      </c>
      <c r="Z37">
        <f t="shared" ca="1" si="29"/>
        <v>16.853069887569657</v>
      </c>
      <c r="AA37">
        <f t="shared" ca="1" si="29"/>
        <v>18.590317746002164</v>
      </c>
      <c r="AB37">
        <f t="shared" ca="1" si="29"/>
        <v>20.306688103666918</v>
      </c>
      <c r="AC37">
        <f t="shared" ca="1" si="29"/>
        <v>21.983430989846013</v>
      </c>
      <c r="AD37">
        <f t="shared" ca="1" si="29"/>
        <v>23.609774998556574</v>
      </c>
      <c r="AE37">
        <f t="shared" ca="1" si="29"/>
        <v>25.179327871196268</v>
      </c>
      <c r="AF37">
        <f t="shared" ca="1" si="29"/>
        <v>26.688165792468574</v>
      </c>
      <c r="AG37">
        <f t="shared" ca="1" si="29"/>
        <v>28.133893250971504</v>
      </c>
      <c r="AH37">
        <f t="shared" ca="1" si="29"/>
        <v>29.515171596188175</v>
      </c>
      <c r="AI37">
        <f t="shared" ca="1" si="29"/>
        <v>30.787096814378941</v>
      </c>
    </row>
    <row r="38" spans="1:35">
      <c r="A38" t="s">
        <v>35</v>
      </c>
      <c r="B38" s="1">
        <f ca="1">SUMPRODUCT(lz,ta3_)</f>
        <v>1.1921373313148313</v>
      </c>
      <c r="C38" s="29">
        <f ca="1">B13/(phi_t3/SUM(B$36:B$38))</f>
        <v>0.37356730962228235</v>
      </c>
      <c r="E38" s="38">
        <f ca="1">C38/AVERAGE(C$36:C$38)</f>
        <v>0.24459617154614346</v>
      </c>
      <c r="G38" t="s">
        <v>69</v>
      </c>
      <c r="J38" s="8" t="s">
        <v>60</v>
      </c>
      <c r="K38">
        <f t="shared" ref="K38:AI38" ca="1" si="30">flt1_*qa1_+lz*wa*flt2_*flt1_/za*(sa-oa/za)</f>
        <v>-8.6153355884572938E-10</v>
      </c>
      <c r="L38">
        <f t="shared" ca="1" si="30"/>
        <v>-1.3395389590162996E-7</v>
      </c>
      <c r="M38">
        <f t="shared" ca="1" si="30"/>
        <v>-4.9719356079786338E-6</v>
      </c>
      <c r="N38">
        <f t="shared" ca="1" si="30"/>
        <v>-3.0210795644376718E-5</v>
      </c>
      <c r="O38">
        <f t="shared" ca="1" si="30"/>
        <v>-9.2084585878466816E-5</v>
      </c>
      <c r="P38">
        <f t="shared" ca="1" si="30"/>
        <v>-3.3464927898587511E-4</v>
      </c>
      <c r="Q38">
        <f t="shared" ca="1" si="30"/>
        <v>-2.6340998148382203E-3</v>
      </c>
      <c r="R38">
        <f t="shared" ca="1" si="30"/>
        <v>-5.0579199787124818E-3</v>
      </c>
      <c r="S38">
        <f t="shared" ca="1" si="30"/>
        <v>4.768231813337704E-3</v>
      </c>
      <c r="T38">
        <f t="shared" ca="1" si="30"/>
        <v>0.12160020770615124</v>
      </c>
      <c r="U38">
        <f t="shared" ca="1" si="30"/>
        <v>0.90366229543628973</v>
      </c>
      <c r="V38">
        <f t="shared" ca="1" si="30"/>
        <v>4.4168346740673003</v>
      </c>
      <c r="W38">
        <f t="shared" ca="1" si="30"/>
        <v>13.7643808912635</v>
      </c>
      <c r="X38">
        <f t="shared" ca="1" si="30"/>
        <v>27.685062300895027</v>
      </c>
      <c r="Y38">
        <f t="shared" ca="1" si="30"/>
        <v>40.915965750176156</v>
      </c>
      <c r="Z38">
        <f t="shared" ca="1" si="30"/>
        <v>51.090572316142001</v>
      </c>
      <c r="AA38">
        <f t="shared" ca="1" si="30"/>
        <v>58.896762211642013</v>
      </c>
      <c r="AB38">
        <f t="shared" ca="1" si="30"/>
        <v>65.363437928330598</v>
      </c>
      <c r="AC38">
        <f t="shared" ca="1" si="30"/>
        <v>71.122745185144851</v>
      </c>
      <c r="AD38">
        <f t="shared" ca="1" si="30"/>
        <v>76.477386856397729</v>
      </c>
      <c r="AE38">
        <f t="shared" ca="1" si="30"/>
        <v>81.556037178561724</v>
      </c>
      <c r="AF38">
        <f t="shared" ca="1" si="30"/>
        <v>86.408266980637947</v>
      </c>
      <c r="AG38">
        <f t="shared" ca="1" si="30"/>
        <v>91.050683181113939</v>
      </c>
      <c r="AH38">
        <f t="shared" ca="1" si="30"/>
        <v>95.487482327147703</v>
      </c>
      <c r="AI38">
        <f t="shared" ca="1" si="30"/>
        <v>99.71312684344548</v>
      </c>
    </row>
    <row r="39" spans="1:35">
      <c r="A39" s="1" t="s">
        <v>36</v>
      </c>
      <c r="B39" s="1">
        <f ca="1">SUMPRODUCT(lz,qa1_)</f>
        <v>18.628713657934878</v>
      </c>
      <c r="C39" s="23">
        <f ca="1">B4/(phi_q1/SUM(B$39:B$41))</f>
        <v>2.0769147059846684</v>
      </c>
      <c r="D39" s="21"/>
      <c r="E39" s="39">
        <f ca="1">C39/AVERAGE(C$39:C$41)</f>
        <v>1.7028003330033579</v>
      </c>
      <c r="G39" s="1">
        <f ca="1">re*phi_q1+f1_*phi_q1*$H31+f1_*re*G35</f>
        <v>1446896.384380098</v>
      </c>
      <c r="H39" s="1">
        <f ca="1">re*phi_q1+f1_*phi_q1*$H32+f1_*re*H35</f>
        <v>1443360.2503330603</v>
      </c>
      <c r="I39" s="1">
        <f ca="1">re*phi_q1+f1_*phi_q1*$H33+f1_*re*I35</f>
        <v>1410081.8713405984</v>
      </c>
      <c r="J39" s="8" t="s">
        <v>66</v>
      </c>
      <c r="K39">
        <f t="shared" ref="K39:AI39" ca="1" si="31">flt1_*qa1_+lz*wa*flt3_*flt1_/za*(sa-oa/za)</f>
        <v>-1.4997391890290573E-12</v>
      </c>
      <c r="L39">
        <f t="shared" ca="1" si="31"/>
        <v>-8.225948056565758E-11</v>
      </c>
      <c r="M39">
        <f t="shared" ca="1" si="31"/>
        <v>-1.9957440504856498E-9</v>
      </c>
      <c r="N39">
        <f t="shared" ca="1" si="31"/>
        <v>-3.3072442612135221E-8</v>
      </c>
      <c r="O39">
        <f t="shared" ca="1" si="31"/>
        <v>-4.5876930972516101E-7</v>
      </c>
      <c r="P39">
        <f t="shared" ca="1" si="31"/>
        <v>-2.2474448505564575E-5</v>
      </c>
      <c r="Q39">
        <f t="shared" ca="1" si="31"/>
        <v>-3.8614778727135866E-3</v>
      </c>
      <c r="R39">
        <f t="shared" ca="1" si="31"/>
        <v>-2.2657208719121625E-2</v>
      </c>
      <c r="S39">
        <f t="shared" ca="1" si="31"/>
        <v>-5.1923130130890116E-2</v>
      </c>
      <c r="T39">
        <f t="shared" ca="1" si="31"/>
        <v>-1.9106407424066219E-2</v>
      </c>
      <c r="U39">
        <f t="shared" ca="1" si="31"/>
        <v>0.60541445245829251</v>
      </c>
      <c r="V39">
        <f t="shared" ca="1" si="31"/>
        <v>3.8981713496053283</v>
      </c>
      <c r="W39">
        <f t="shared" ca="1" si="31"/>
        <v>13.072659736395595</v>
      </c>
      <c r="X39">
        <f t="shared" ca="1" si="31"/>
        <v>26.980360853528435</v>
      </c>
      <c r="Y39">
        <f t="shared" ca="1" si="31"/>
        <v>40.324971292872348</v>
      </c>
      <c r="Z39">
        <f t="shared" ca="1" si="31"/>
        <v>50.602587654484402</v>
      </c>
      <c r="AA39">
        <f t="shared" ca="1" si="31"/>
        <v>58.515065935739102</v>
      </c>
      <c r="AB39">
        <f t="shared" ca="1" si="31"/>
        <v>65.072953623823778</v>
      </c>
      <c r="AC39">
        <f t="shared" ca="1" si="31"/>
        <v>70.90507616085813</v>
      </c>
      <c r="AD39">
        <f t="shared" ca="1" si="31"/>
        <v>76.315932084379554</v>
      </c>
      <c r="AE39">
        <f t="shared" ca="1" si="31"/>
        <v>81.437188641756919</v>
      </c>
      <c r="AF39">
        <f t="shared" ca="1" si="31"/>
        <v>86.321324957255058</v>
      </c>
      <c r="AG39">
        <f t="shared" ca="1" si="31"/>
        <v>90.987421226221215</v>
      </c>
      <c r="AH39">
        <f t="shared" ca="1" si="31"/>
        <v>95.44166691541929</v>
      </c>
      <c r="AI39">
        <f t="shared" ca="1" si="31"/>
        <v>99.606337281293008</v>
      </c>
    </row>
    <row r="40" spans="1:35">
      <c r="A40" s="1" t="s">
        <v>37</v>
      </c>
      <c r="B40" s="1">
        <f ca="1">SUMPRODUCT(lz,qa2_)</f>
        <v>11.455739463830081</v>
      </c>
      <c r="C40" s="23">
        <f ca="1">B5/(phi_q2/SUM(B$39:B$41))</f>
        <v>1.2595661654277954</v>
      </c>
      <c r="D40" s="21"/>
      <c r="E40" s="39">
        <f ca="1">C40/AVERAGE(C$39:C$41)</f>
        <v>1.0326806776176032</v>
      </c>
      <c r="G40" s="1">
        <f ca="1">re*phi_q1+f1_*phi_q1*$H32+f1_*re*G36</f>
        <v>1443360.2503330603</v>
      </c>
      <c r="H40" s="1">
        <f ca="1">re*phi_q2+f2_*phi_q2*$H32+f2_*re*H36</f>
        <v>83853.387711260832</v>
      </c>
      <c r="I40" s="1">
        <f ca="1">re*phi_q3+f3_*phi_q3*$H33+f3_*re*I36</f>
        <v>400810.03284073307</v>
      </c>
      <c r="J40" s="8" t="s">
        <v>65</v>
      </c>
      <c r="K40">
        <f t="shared" ref="K40:AI40" ca="1" si="32">flt1_*qa1_+lz*wa*flt1_*flt2_/za*(sa-oa/za)</f>
        <v>-8.6153355884572938E-10</v>
      </c>
      <c r="L40">
        <f t="shared" ca="1" si="32"/>
        <v>-1.3395389590162996E-7</v>
      </c>
      <c r="M40">
        <f t="shared" ca="1" si="32"/>
        <v>-4.9719356079786338E-6</v>
      </c>
      <c r="N40">
        <f t="shared" ca="1" si="32"/>
        <v>-3.0210795644376718E-5</v>
      </c>
      <c r="O40">
        <f t="shared" ca="1" si="32"/>
        <v>-9.2084585878466816E-5</v>
      </c>
      <c r="P40">
        <f t="shared" ca="1" si="32"/>
        <v>-3.3464927898587511E-4</v>
      </c>
      <c r="Q40">
        <f t="shared" ca="1" si="32"/>
        <v>-2.6340998148382195E-3</v>
      </c>
      <c r="R40">
        <f t="shared" ca="1" si="32"/>
        <v>-5.0579199787124818E-3</v>
      </c>
      <c r="S40">
        <f t="shared" ca="1" si="32"/>
        <v>4.768231813337704E-3</v>
      </c>
      <c r="T40">
        <f t="shared" ca="1" si="32"/>
        <v>0.12160020770615124</v>
      </c>
      <c r="U40">
        <f t="shared" ca="1" si="32"/>
        <v>0.90366229543628973</v>
      </c>
      <c r="V40">
        <f t="shared" ca="1" si="32"/>
        <v>4.4168346740673003</v>
      </c>
      <c r="W40">
        <f t="shared" ca="1" si="32"/>
        <v>13.7643808912635</v>
      </c>
      <c r="X40">
        <f t="shared" ca="1" si="32"/>
        <v>27.685062300895027</v>
      </c>
      <c r="Y40">
        <f t="shared" ca="1" si="32"/>
        <v>40.915965750176156</v>
      </c>
      <c r="Z40">
        <f t="shared" ca="1" si="32"/>
        <v>51.090572316142001</v>
      </c>
      <c r="AA40">
        <f t="shared" ca="1" si="32"/>
        <v>58.896762211642013</v>
      </c>
      <c r="AB40">
        <f t="shared" ca="1" si="32"/>
        <v>65.363437928330598</v>
      </c>
      <c r="AC40">
        <f t="shared" ca="1" si="32"/>
        <v>71.122745185144851</v>
      </c>
      <c r="AD40">
        <f t="shared" ca="1" si="32"/>
        <v>76.477386856397729</v>
      </c>
      <c r="AE40">
        <f t="shared" ca="1" si="32"/>
        <v>81.556037178561724</v>
      </c>
      <c r="AF40">
        <f t="shared" ca="1" si="32"/>
        <v>86.408266980637947</v>
      </c>
      <c r="AG40">
        <f t="shared" ca="1" si="32"/>
        <v>91.050683181113939</v>
      </c>
      <c r="AH40">
        <f t="shared" ca="1" si="32"/>
        <v>95.487482327147703</v>
      </c>
      <c r="AI40">
        <f t="shared" ca="1" si="32"/>
        <v>99.71312684344548</v>
      </c>
    </row>
    <row r="41" spans="1:35">
      <c r="A41" s="1" t="s">
        <v>38</v>
      </c>
      <c r="B41" s="1">
        <f ca="1">SUMPRODUCT(lz,qa3_)</f>
        <v>34.006873572617536</v>
      </c>
      <c r="C41" s="23">
        <f ca="1">B6/(phi_q3/SUM(B$39:B$41))</f>
        <v>0.32263523115745413</v>
      </c>
      <c r="D41" s="21"/>
      <c r="E41" s="39">
        <f ca="1">C41/AVERAGE(C$39:C$41)</f>
        <v>0.26451898937903889</v>
      </c>
      <c r="G41" s="1">
        <f ca="1">re*phi_q1+f1_*phi_q1*$H33+f1_*re*G37</f>
        <v>1410081.8713405984</v>
      </c>
      <c r="H41" s="1">
        <f ca="1">re*phi_q3+f3_*phi_q3*$H33+f3_*re*H37</f>
        <v>400810.03284073313</v>
      </c>
      <c r="I41" s="1">
        <f ca="1">re*phi_q3+f1_*phi_q3*$H33+f3_*re*I37</f>
        <v>200076.74552715593</v>
      </c>
      <c r="J41" s="8" t="s">
        <v>67</v>
      </c>
      <c r="K41">
        <f t="shared" ref="K41:AI41" ca="1" si="33">flt1_*qa1_+lz*wa*flt3_*flt2_/za*(sa-oa/za)</f>
        <v>-6.9289469366193254E-9</v>
      </c>
      <c r="L41">
        <f t="shared" ca="1" si="33"/>
        <v>-1.5035792108518041E-6</v>
      </c>
      <c r="M41">
        <f t="shared" ca="1" si="33"/>
        <v>-7.7736127472527206E-5</v>
      </c>
      <c r="N41">
        <f t="shared" ca="1" si="33"/>
        <v>-6.5247672927204979E-4</v>
      </c>
      <c r="O41">
        <f t="shared" ca="1" si="33"/>
        <v>-2.7486450736777901E-3</v>
      </c>
      <c r="P41">
        <f t="shared" ca="1" si="33"/>
        <v>-2.6069526712652374E-2</v>
      </c>
      <c r="Q41">
        <f t="shared" ca="1" si="33"/>
        <v>-0.36664919643066474</v>
      </c>
      <c r="R41">
        <f t="shared" ca="1" si="33"/>
        <v>-0.5581515759297232</v>
      </c>
      <c r="S41">
        <f t="shared" ca="1" si="33"/>
        <v>-0.46495555378148062</v>
      </c>
      <c r="T41">
        <f t="shared" ca="1" si="33"/>
        <v>-0.20588025716818933</v>
      </c>
      <c r="U41">
        <f t="shared" ca="1" si="33"/>
        <v>0.71069911985817691</v>
      </c>
      <c r="V41">
        <f t="shared" ca="1" si="33"/>
        <v>4.3329701389597934</v>
      </c>
      <c r="W41">
        <f t="shared" ca="1" si="33"/>
        <v>13.750417546114397</v>
      </c>
      <c r="X41">
        <f t="shared" ca="1" si="33"/>
        <v>27.699612904776288</v>
      </c>
      <c r="Y41">
        <f t="shared" ca="1" si="33"/>
        <v>40.934497547990723</v>
      </c>
      <c r="Z41">
        <f t="shared" ca="1" si="33"/>
        <v>51.107315595128959</v>
      </c>
      <c r="AA41">
        <f t="shared" ca="1" si="33"/>
        <v>58.910298020171545</v>
      </c>
      <c r="AB41">
        <f t="shared" ca="1" si="33"/>
        <v>65.373869418685544</v>
      </c>
      <c r="AC41">
        <f t="shared" ca="1" si="33"/>
        <v>71.130599817781686</v>
      </c>
      <c r="AD41">
        <f t="shared" ca="1" si="33"/>
        <v>76.483223926481173</v>
      </c>
      <c r="AE41">
        <f t="shared" ca="1" si="33"/>
        <v>81.560337014312481</v>
      </c>
      <c r="AF41">
        <f t="shared" ca="1" si="33"/>
        <v>86.411413329974749</v>
      </c>
      <c r="AG41">
        <f t="shared" ca="1" si="33"/>
        <v>91.052972799408522</v>
      </c>
      <c r="AH41">
        <f t="shared" ca="1" si="33"/>
        <v>95.489140561017791</v>
      </c>
      <c r="AI41">
        <f t="shared" ca="1" si="33"/>
        <v>99.716991982986542</v>
      </c>
    </row>
    <row r="42" spans="1:35">
      <c r="A42" s="1" t="s">
        <v>96</v>
      </c>
      <c r="B42" s="1">
        <f ca="1">SUMPRODUCT(lz/SUM(lz),len,ta1_)</f>
        <v>7.6837337603868852</v>
      </c>
      <c r="J42" s="8" t="s">
        <v>68</v>
      </c>
      <c r="K42">
        <f t="shared" ref="K42:AI42" ca="1" si="34">flt1_*qa1_+lz*wa*flt1_*flt3_/za*(sa-oa/za)</f>
        <v>-1.4997391890290573E-12</v>
      </c>
      <c r="L42">
        <f t="shared" ca="1" si="34"/>
        <v>-8.225948056565758E-11</v>
      </c>
      <c r="M42">
        <f t="shared" ca="1" si="34"/>
        <v>-1.9957440504856489E-9</v>
      </c>
      <c r="N42">
        <f t="shared" ca="1" si="34"/>
        <v>-3.3072442612135221E-8</v>
      </c>
      <c r="O42">
        <f t="shared" ca="1" si="34"/>
        <v>-4.5876930972516111E-7</v>
      </c>
      <c r="P42">
        <f t="shared" ca="1" si="34"/>
        <v>-2.2474448505564575E-5</v>
      </c>
      <c r="Q42">
        <f t="shared" ca="1" si="34"/>
        <v>-3.8614778727135857E-3</v>
      </c>
      <c r="R42">
        <f t="shared" ca="1" si="34"/>
        <v>-2.2657208719121625E-2</v>
      </c>
      <c r="S42">
        <f t="shared" ca="1" si="34"/>
        <v>-5.1923130130890116E-2</v>
      </c>
      <c r="T42">
        <f t="shared" ca="1" si="34"/>
        <v>-1.9106407424066219E-2</v>
      </c>
      <c r="U42">
        <f t="shared" ca="1" si="34"/>
        <v>0.60541445245829251</v>
      </c>
      <c r="V42">
        <f t="shared" ca="1" si="34"/>
        <v>3.8981713496053283</v>
      </c>
      <c r="W42">
        <f t="shared" ca="1" si="34"/>
        <v>13.072659736395595</v>
      </c>
      <c r="X42">
        <f t="shared" ca="1" si="34"/>
        <v>26.980360853528435</v>
      </c>
      <c r="Y42">
        <f t="shared" ca="1" si="34"/>
        <v>40.324971292872348</v>
      </c>
      <c r="Z42">
        <f t="shared" ca="1" si="34"/>
        <v>50.602587654484402</v>
      </c>
      <c r="AA42">
        <f t="shared" ca="1" si="34"/>
        <v>58.515065935739102</v>
      </c>
      <c r="AB42">
        <f t="shared" ca="1" si="34"/>
        <v>65.072953623823778</v>
      </c>
      <c r="AC42">
        <f t="shared" ca="1" si="34"/>
        <v>70.90507616085813</v>
      </c>
      <c r="AD42">
        <f t="shared" ca="1" si="34"/>
        <v>76.315932084379554</v>
      </c>
      <c r="AE42">
        <f t="shared" ca="1" si="34"/>
        <v>81.437188641756919</v>
      </c>
      <c r="AF42">
        <f t="shared" ca="1" si="34"/>
        <v>86.321324957255058</v>
      </c>
      <c r="AG42">
        <f t="shared" ca="1" si="34"/>
        <v>90.987421226221215</v>
      </c>
      <c r="AH42">
        <f t="shared" ca="1" si="34"/>
        <v>95.44166691541929</v>
      </c>
      <c r="AI42">
        <f t="shared" ca="1" si="34"/>
        <v>99.606337281293008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-6.9289469366193254E-9</v>
      </c>
      <c r="L43">
        <f t="shared" ca="1" si="35"/>
        <v>-1.5035792108518041E-6</v>
      </c>
      <c r="M43">
        <f t="shared" ca="1" si="35"/>
        <v>-7.7736127472527206E-5</v>
      </c>
      <c r="N43">
        <f t="shared" ca="1" si="35"/>
        <v>-6.5247672927204979E-4</v>
      </c>
      <c r="O43">
        <f t="shared" ca="1" si="35"/>
        <v>-2.7486450736777901E-3</v>
      </c>
      <c r="P43">
        <f t="shared" ca="1" si="35"/>
        <v>-2.6069526712652374E-2</v>
      </c>
      <c r="Q43">
        <f t="shared" ca="1" si="35"/>
        <v>-0.36664919643066474</v>
      </c>
      <c r="R43">
        <f t="shared" ca="1" si="35"/>
        <v>-0.5581515759297232</v>
      </c>
      <c r="S43">
        <f t="shared" ca="1" si="35"/>
        <v>-0.46495555378148057</v>
      </c>
      <c r="T43">
        <f t="shared" ca="1" si="35"/>
        <v>-0.20588025716818933</v>
      </c>
      <c r="U43">
        <f t="shared" ca="1" si="35"/>
        <v>0.71069911985817691</v>
      </c>
      <c r="V43">
        <f t="shared" ca="1" si="35"/>
        <v>4.3329701389597934</v>
      </c>
      <c r="W43">
        <f t="shared" ca="1" si="35"/>
        <v>13.750417546114397</v>
      </c>
      <c r="X43">
        <f t="shared" ca="1" si="35"/>
        <v>27.699612904776288</v>
      </c>
      <c r="Y43">
        <f t="shared" ca="1" si="35"/>
        <v>40.934497547990723</v>
      </c>
      <c r="Z43">
        <f t="shared" ca="1" si="35"/>
        <v>51.107315595128959</v>
      </c>
      <c r="AA43">
        <f t="shared" ca="1" si="35"/>
        <v>58.910298020171545</v>
      </c>
      <c r="AB43">
        <f t="shared" ca="1" si="35"/>
        <v>65.373869418685544</v>
      </c>
      <c r="AC43">
        <f t="shared" ca="1" si="35"/>
        <v>71.130599817781686</v>
      </c>
      <c r="AD43">
        <f t="shared" ca="1" si="35"/>
        <v>76.483223926481173</v>
      </c>
      <c r="AE43">
        <f t="shared" ca="1" si="35"/>
        <v>81.560337014312481</v>
      </c>
      <c r="AF43">
        <f t="shared" ca="1" si="35"/>
        <v>86.411413329974749</v>
      </c>
      <c r="AG43">
        <f t="shared" ca="1" si="35"/>
        <v>91.052972799408522</v>
      </c>
      <c r="AH43">
        <f t="shared" ca="1" si="35"/>
        <v>95.489140561017791</v>
      </c>
      <c r="AI43">
        <f t="shared" ca="1" si="35"/>
        <v>99.716991982986542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0.27051004013116176</v>
      </c>
      <c r="G46" s="32" t="s">
        <v>94</v>
      </c>
      <c r="H46" s="32"/>
      <c r="I46" s="32"/>
      <c r="J46" s="8" t="s">
        <v>75</v>
      </c>
      <c r="K46">
        <f t="shared" ref="K46:AI46" ca="1" si="36">lz*qa1_</f>
        <v>1.8351098244053905E-7</v>
      </c>
      <c r="L46">
        <f t="shared" ca="1" si="36"/>
        <v>2.661186337686399E-6</v>
      </c>
      <c r="M46">
        <f t="shared" ca="1" si="36"/>
        <v>1.7429216210159526E-5</v>
      </c>
      <c r="N46">
        <f t="shared" ca="1" si="36"/>
        <v>7.9523070355710533E-5</v>
      </c>
      <c r="O46">
        <f t="shared" ca="1" si="36"/>
        <v>3.0170049527307073E-4</v>
      </c>
      <c r="P46">
        <f t="shared" ca="1" si="36"/>
        <v>1.4372551288387562E-3</v>
      </c>
      <c r="Q46">
        <f t="shared" ca="1" si="36"/>
        <v>1.5831174868965649E-2</v>
      </c>
      <c r="R46">
        <f t="shared" ca="1" si="36"/>
        <v>5.5162657791109147E-2</v>
      </c>
      <c r="S46">
        <f t="shared" ca="1" si="36"/>
        <v>0.14976455812352321</v>
      </c>
      <c r="T46">
        <f t="shared" ca="1" si="36"/>
        <v>0.37686173697434311</v>
      </c>
      <c r="U46">
        <f t="shared" ca="1" si="36"/>
        <v>0.85246165129617968</v>
      </c>
      <c r="V46">
        <f t="shared" ca="1" si="36"/>
        <v>1.6118992239809269</v>
      </c>
      <c r="W46">
        <f t="shared" ca="1" si="36"/>
        <v>2.3582389014894849</v>
      </c>
      <c r="X46">
        <f t="shared" ca="1" si="36"/>
        <v>2.6437860990148314</v>
      </c>
      <c r="Y46">
        <f t="shared" ca="1" si="36"/>
        <v>2.4406701984531272</v>
      </c>
      <c r="Z46">
        <f t="shared" ca="1" si="36"/>
        <v>2.0193623301027377</v>
      </c>
      <c r="AA46">
        <f t="shared" ca="1" si="36"/>
        <v>1.5808873071378697</v>
      </c>
      <c r="AB46">
        <f t="shared" ca="1" si="36"/>
        <v>1.2035299359715017</v>
      </c>
      <c r="AC46">
        <f t="shared" ca="1" si="36"/>
        <v>0.90196676072105175</v>
      </c>
      <c r="AD46">
        <f t="shared" ca="1" si="36"/>
        <v>0.66906464979722435</v>
      </c>
      <c r="AE46">
        <f t="shared" ca="1" si="36"/>
        <v>0.4925156630944641</v>
      </c>
      <c r="AF46">
        <f t="shared" ca="1" si="36"/>
        <v>0.36029594460841774</v>
      </c>
      <c r="AG46">
        <f t="shared" ca="1" si="36"/>
        <v>0.2621642583691533</v>
      </c>
      <c r="AH46">
        <f t="shared" ca="1" si="36"/>
        <v>0.18986410326940678</v>
      </c>
      <c r="AI46">
        <f t="shared" ca="1" si="36"/>
        <v>0.44254775026255982</v>
      </c>
    </row>
    <row r="47" spans="1:35" ht="19" thickTop="1">
      <c r="A47" s="1" t="s">
        <v>41</v>
      </c>
      <c r="B47" s="11">
        <f ca="1">MAX(0,Ro*(reck-1/spr)/(reck-1))</f>
        <v>7619.9627183515895</v>
      </c>
      <c r="F47" t="s">
        <v>84</v>
      </c>
      <c r="G47" s="31">
        <f ca="1">G39/G53</f>
        <v>1.0000000000000002</v>
      </c>
      <c r="H47" s="31">
        <f ca="1">H53/H39</f>
        <v>0.24132609274197503</v>
      </c>
      <c r="I47" s="31">
        <f ca="1">I53/I39</f>
        <v>0.38156865729813527</v>
      </c>
      <c r="J47" s="8" t="s">
        <v>76</v>
      </c>
      <c r="K47">
        <f t="shared" ref="K47:AI47" ca="1" si="37">lz*qa2_</f>
        <v>6.3150850871281094E-4</v>
      </c>
      <c r="L47">
        <f t="shared" ca="1" si="37"/>
        <v>3.8295510832131445E-2</v>
      </c>
      <c r="M47">
        <f t="shared" ca="1" si="37"/>
        <v>0.55698806009457902</v>
      </c>
      <c r="N47">
        <f t="shared" ca="1" si="37"/>
        <v>1.3222753282018693</v>
      </c>
      <c r="O47">
        <f t="shared" ca="1" si="37"/>
        <v>1.5566862279562736</v>
      </c>
      <c r="P47">
        <f t="shared" ca="1" si="37"/>
        <v>1.5597069385827342</v>
      </c>
      <c r="Q47">
        <f t="shared" ca="1" si="37"/>
        <v>1.4344866080999825</v>
      </c>
      <c r="R47">
        <f t="shared" ca="1" si="37"/>
        <v>1.2327317951538057</v>
      </c>
      <c r="S47">
        <f t="shared" ca="1" si="37"/>
        <v>1.0067430912243205</v>
      </c>
      <c r="T47">
        <f t="shared" ca="1" si="37"/>
        <v>0.78994814852633488</v>
      </c>
      <c r="U47">
        <f t="shared" ca="1" si="37"/>
        <v>0.59551575922001698</v>
      </c>
      <c r="V47">
        <f t="shared" ca="1" si="37"/>
        <v>0.42769806604307126</v>
      </c>
      <c r="W47">
        <f t="shared" ca="1" si="37"/>
        <v>0.28977642597640135</v>
      </c>
      <c r="X47">
        <f t="shared" ca="1" si="37"/>
        <v>0.18528157483947125</v>
      </c>
      <c r="Y47">
        <f t="shared" ca="1" si="37"/>
        <v>0.11328330802969507</v>
      </c>
      <c r="Z47">
        <f t="shared" ca="1" si="37"/>
        <v>8.821280389921024E-2</v>
      </c>
      <c r="AA47">
        <f t="shared" ca="1" si="37"/>
        <v>6.7376039443862945E-2</v>
      </c>
      <c r="AB47">
        <f t="shared" ca="1" si="37"/>
        <v>5.0794389176278786E-2</v>
      </c>
      <c r="AC47">
        <f t="shared" ca="1" si="37"/>
        <v>3.7921517471462357E-2</v>
      </c>
      <c r="AD47">
        <f t="shared" ca="1" si="37"/>
        <v>2.8087661956304695E-2</v>
      </c>
      <c r="AE47">
        <f t="shared" ca="1" si="37"/>
        <v>2.0664141368316753E-2</v>
      </c>
      <c r="AF47">
        <f t="shared" ca="1" si="37"/>
        <v>1.511338187908653E-2</v>
      </c>
      <c r="AG47">
        <f t="shared" ca="1" si="37"/>
        <v>1.0996164737592356E-2</v>
      </c>
      <c r="AH47">
        <f t="shared" ca="1" si="37"/>
        <v>7.9634210608015964E-3</v>
      </c>
      <c r="AI47">
        <f t="shared" ca="1" si="37"/>
        <v>1.8561591547766376E-2</v>
      </c>
    </row>
    <row r="48" spans="1:35">
      <c r="A48" s="1" t="s">
        <v>43</v>
      </c>
      <c r="B48" s="1">
        <f ca="1">f1_*re*phi_q1</f>
        <v>28995.344547135712</v>
      </c>
      <c r="C48" s="20">
        <f ca="1">ye_1/SUM(ye_1,ye_2,ye_3)</f>
        <v>0.71126741040739672</v>
      </c>
      <c r="F48" t="s">
        <v>85</v>
      </c>
      <c r="G48" s="31">
        <f ca="1">G40/G54</f>
        <v>4.1437707321155548</v>
      </c>
      <c r="H48" s="31">
        <f t="shared" ref="H48:I49" ca="1" si="38">H40/H54</f>
        <v>0.99999999999999978</v>
      </c>
      <c r="I48" s="31">
        <f ca="1">I54/I40</f>
        <v>0.32316180838026709</v>
      </c>
      <c r="J48" s="8" t="s">
        <v>77</v>
      </c>
      <c r="K48">
        <f t="shared" ref="K48:AI48" ca="1" si="39">lz*qa3_</f>
        <v>1.4751301091454431E-6</v>
      </c>
      <c r="L48">
        <f t="shared" ca="1" si="39"/>
        <v>2.9866244198984891E-5</v>
      </c>
      <c r="M48">
        <f t="shared" ca="1" si="39"/>
        <v>2.7248308851996692E-4</v>
      </c>
      <c r="N48">
        <f t="shared" ca="1" si="39"/>
        <v>1.7171626837628696E-3</v>
      </c>
      <c r="O48">
        <f t="shared" ca="1" si="39"/>
        <v>8.9985133751050699E-3</v>
      </c>
      <c r="P48">
        <f t="shared" ca="1" si="39"/>
        <v>0.11145416712714182</v>
      </c>
      <c r="Q48">
        <f t="shared" ca="1" si="39"/>
        <v>2.0585959270442085</v>
      </c>
      <c r="R48">
        <f t="shared" ca="1" si="39"/>
        <v>4.1309567094930149</v>
      </c>
      <c r="S48">
        <f t="shared" ca="1" si="39"/>
        <v>4.6913623074295057</v>
      </c>
      <c r="T48">
        <f t="shared" ca="1" si="39"/>
        <v>4.5338500768251757</v>
      </c>
      <c r="U48">
        <f t="shared" ca="1" si="39"/>
        <v>4.0745477032986575</v>
      </c>
      <c r="V48">
        <f t="shared" ca="1" si="39"/>
        <v>3.4593485472810772</v>
      </c>
      <c r="W48">
        <f t="shared" ca="1" si="39"/>
        <v>2.7648410909234471</v>
      </c>
      <c r="X48">
        <f t="shared" ca="1" si="39"/>
        <v>2.0842902344789298</v>
      </c>
      <c r="Y48">
        <f t="shared" ca="1" si="39"/>
        <v>1.5022863576866454</v>
      </c>
      <c r="Z48">
        <f t="shared" ca="1" si="39"/>
        <v>1.1698183446084842</v>
      </c>
      <c r="AA48">
        <f t="shared" ca="1" si="39"/>
        <v>0.89349531411053296</v>
      </c>
      <c r="AB48">
        <f t="shared" ca="1" si="39"/>
        <v>0.67360072047461061</v>
      </c>
      <c r="AC48">
        <f t="shared" ca="1" si="39"/>
        <v>0.50288943138225051</v>
      </c>
      <c r="AD48">
        <f t="shared" ca="1" si="39"/>
        <v>0.37247951273818675</v>
      </c>
      <c r="AE48">
        <f t="shared" ca="1" si="39"/>
        <v>0.2740338202587892</v>
      </c>
      <c r="AF48">
        <f t="shared" ca="1" si="39"/>
        <v>0.2004234146261748</v>
      </c>
      <c r="AG48">
        <f t="shared" ca="1" si="39"/>
        <v>0.14582367481561984</v>
      </c>
      <c r="AH48">
        <f t="shared" ca="1" si="39"/>
        <v>0.10560548617648766</v>
      </c>
      <c r="AI48">
        <f t="shared" ca="1" si="39"/>
        <v>0.24615123131690061</v>
      </c>
    </row>
    <row r="49" spans="1:47">
      <c r="A49" s="1" t="s">
        <v>44</v>
      </c>
      <c r="B49" s="1">
        <f ca="1">f2_*re*phi_q2</f>
        <v>5596.8490144373463</v>
      </c>
      <c r="C49" s="20">
        <f ca="1">ye_2/SUM(ye_1,ye_2,ye_3)</f>
        <v>0.13729294709599471</v>
      </c>
      <c r="F49" t="s">
        <v>86</v>
      </c>
      <c r="G49" s="31">
        <f ca="1">G41/G55</f>
        <v>2.6207603294278412</v>
      </c>
      <c r="H49" s="31">
        <f t="shared" ca="1" si="38"/>
        <v>3.0944250653013183</v>
      </c>
      <c r="I49" s="31">
        <f t="shared" ca="1" si="38"/>
        <v>1.0000000000000002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6173.5495652319232</v>
      </c>
      <c r="C50" s="20">
        <f ca="1">ye_3/SUM(ye_1,ye_2,ye_3)</f>
        <v>0.15143964249660855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40765.743126804984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1202.8700613034218</v>
      </c>
      <c r="H52" s="57">
        <f ca="1">H40^0.5</f>
        <v>289.57449423466295</v>
      </c>
      <c r="I52" s="11">
        <f ca="1">I41^0.5</f>
        <v>447.29939137802984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3.8051819436471224</v>
      </c>
      <c r="C53">
        <f ca="1">AVERAGE(B53:B55)/B53</f>
        <v>0.46864699331916265</v>
      </c>
      <c r="G53">
        <f ca="1">G$52*$J53</f>
        <v>1446896.3843800977</v>
      </c>
      <c r="H53">
        <f t="shared" ref="H53:I53" ca="1" si="40">H$52*$J53</f>
        <v>348320.48963195638</v>
      </c>
      <c r="I53">
        <f t="shared" ca="1" si="40"/>
        <v>538043.04632787406</v>
      </c>
      <c r="J53">
        <f t="array" aca="1" ref="J53:J55" ca="1">TRANSPOSE(G52:I52)</f>
        <v>1202.8700613034218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0.73449821492671297</v>
      </c>
      <c r="C54">
        <f ca="1">AVERAGE(B53:B55)/B54</f>
        <v>2.4278984491480688</v>
      </c>
      <c r="G54">
        <f t="shared" ref="G54:I55" ca="1" si="41">G$52*$J54</f>
        <v>348320.48963195638</v>
      </c>
      <c r="H54">
        <f t="shared" ca="1" si="41"/>
        <v>83853.387711260846</v>
      </c>
      <c r="I54">
        <f ca="1">I$52*$J54</f>
        <v>129526.49502976555</v>
      </c>
      <c r="J54">
        <f ca="1"/>
        <v>289.57449423466295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0.81018107219393776</v>
      </c>
      <c r="C55">
        <f ca="1">AVERAGE(B53:B55)/B55</f>
        <v>2.2010969376185519</v>
      </c>
      <c r="G55">
        <f t="shared" ca="1" si="41"/>
        <v>538043.04632787406</v>
      </c>
      <c r="H55">
        <f t="shared" ca="1" si="41"/>
        <v>129526.49502976555</v>
      </c>
      <c r="I55">
        <f t="shared" ca="1" si="41"/>
        <v>200076.7455271559</v>
      </c>
      <c r="J55">
        <f ca="1"/>
        <v>447.29939137802984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6.8403375340361311E-2</v>
      </c>
      <c r="C56">
        <f ca="1">AVERAGE(B56:B58)/B56</f>
        <v>1.0015609311013745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0.108725543627093</v>
      </c>
      <c r="C57">
        <f ca="1">AVERAGE(B56:B58)/B57</f>
        <v>0.63012008044167855</v>
      </c>
      <c r="G57">
        <f t="array" aca="1" ref="G57:I59" ca="1">MMULT($G$52:$I$52,TRANSPOSE($G$52:$I$52))</f>
        <v>1730826.5176185146</v>
      </c>
      <c r="H57">
        <f ca="1"/>
        <v>1730826.5176185146</v>
      </c>
      <c r="I57">
        <f ca="1"/>
        <v>1730826.5176185146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2.8401525921652893E-2</v>
      </c>
      <c r="C58">
        <f ca="1">AVERAGE(B56:B58)/B58</f>
        <v>2.4121995587616643</v>
      </c>
      <c r="G58">
        <f ca="1"/>
        <v>1730826.5176185146</v>
      </c>
      <c r="H58">
        <f ca="1"/>
        <v>1730826.5176185146</v>
      </c>
      <c r="I58">
        <f ca="1"/>
        <v>1730826.5176185146</v>
      </c>
      <c r="AL58" s="31"/>
      <c r="AM58" s="31"/>
      <c r="AN58" s="31"/>
      <c r="AO58" s="31"/>
      <c r="AP58" s="31"/>
    </row>
    <row r="59" spans="1:47">
      <c r="G59">
        <f ca="1"/>
        <v>1730826.5176185146</v>
      </c>
      <c r="H59">
        <f ca="1"/>
        <v>1730826.5176185146</v>
      </c>
      <c r="I59">
        <f ca="1"/>
        <v>1730826.5176185146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55.628569858041502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6.7555257984811359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28.525969852072912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'Excluders (2)'!K6:AI6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(2)'!K18:AI18</xm:f>
              <xm:sqref>J18</xm:sqref>
            </x14:sparkline>
            <x14:sparkline>
              <xm:f>'Excluders (2)'!K19:AI19</xm:f>
              <xm:sqref>J19</xm:sqref>
            </x14:sparkline>
            <x14:sparkline>
              <xm:f>'Excluders (2)'!K20:AI20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'Excluders (2)'!K46:AI46</xm:f>
              <xm:sqref>J46</xm:sqref>
            </x14:sparkline>
            <x14:sparkline>
              <xm:f>'Excluders (2)'!K47:AI47</xm:f>
              <xm:sqref>J47</xm:sqref>
            </x14:sparkline>
            <x14:sparkline>
              <xm:f>'Excluders (2)'!K48:AI48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(2)'!K35:AI35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0.60367371601208453</v>
      </c>
      <c r="E4" s="47">
        <v>24977</v>
      </c>
      <c r="F4" s="47">
        <f ca="1">ye_1</f>
        <v>24487.654004566433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0.22513595166163139</v>
      </c>
      <c r="E5" s="47">
        <v>9315</v>
      </c>
      <c r="F5" s="47">
        <f ca="1">ye_2</f>
        <v>9132.5017837424984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0.17119033232628403</v>
      </c>
      <c r="E6" s="47">
        <v>7083</v>
      </c>
      <c r="F6" s="47">
        <f ca="1">ye_3</f>
        <v>6944.2308249327034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0.26465786010982051</v>
      </c>
      <c r="J7" t="s">
        <v>7</v>
      </c>
      <c r="K7" s="1">
        <f>1</f>
        <v>1</v>
      </c>
      <c r="L7" s="1">
        <f ca="1">K7*EXP(-K8)</f>
        <v>0.86042324779505786</v>
      </c>
      <c r="M7" s="1">
        <f t="shared" ref="M7:AH7" ca="1" si="4">L7*EXP(-L8)</f>
        <v>0.73755984497438787</v>
      </c>
      <c r="N7" s="1">
        <f t="shared" ca="1" si="4"/>
        <v>0.61746935933542957</v>
      </c>
      <c r="O7" s="1">
        <f t="shared" ca="1" si="4"/>
        <v>0.50808088028084764</v>
      </c>
      <c r="P7" s="1">
        <f t="shared" ca="1" si="4"/>
        <v>0.4178645057208461</v>
      </c>
      <c r="Q7" s="1">
        <f t="shared" ca="1" si="4"/>
        <v>0.34809491303599066</v>
      </c>
      <c r="R7" s="1">
        <f t="shared" ca="1" si="4"/>
        <v>0.28666981637689487</v>
      </c>
      <c r="S7" s="1">
        <f t="shared" ca="1" si="4"/>
        <v>0.23367420616045259</v>
      </c>
      <c r="T7" s="1">
        <f t="shared" ca="1" si="4"/>
        <v>0.18995007177435674</v>
      </c>
      <c r="U7" s="1">
        <f t="shared" ca="1" si="4"/>
        <v>0.15371750241926116</v>
      </c>
      <c r="V7" s="1">
        <f t="shared" ca="1" si="4"/>
        <v>0.12271909263749582</v>
      </c>
      <c r="W7" s="1">
        <f t="shared" ca="1" si="4"/>
        <v>9.5288835987713469E-2</v>
      </c>
      <c r="X7" s="1">
        <f t="shared" ca="1" si="4"/>
        <v>7.1286104490039373E-2</v>
      </c>
      <c r="Y7" s="1">
        <f t="shared" ca="1" si="4"/>
        <v>5.166383247085729E-2</v>
      </c>
      <c r="Z7" s="1">
        <f t="shared" ca="1" si="4"/>
        <v>3.6774757093103162E-2</v>
      </c>
      <c r="AA7" s="1">
        <f t="shared" ca="1" si="4"/>
        <v>2.5915622362892538E-2</v>
      </c>
      <c r="AB7" s="1">
        <f t="shared" ca="1" si="4"/>
        <v>1.8185564584877901E-2</v>
      </c>
      <c r="AC7" s="1">
        <f t="shared" ca="1" si="4"/>
        <v>1.2739352522182208E-2</v>
      </c>
      <c r="AD7" s="1">
        <f t="shared" ca="1" si="4"/>
        <v>8.9181376471470335E-3</v>
      </c>
      <c r="AE7" s="1">
        <f t="shared" ca="1" si="4"/>
        <v>6.241461908687013E-3</v>
      </c>
      <c r="AF7" s="1">
        <f t="shared" ca="1" si="4"/>
        <v>4.3677134580143873E-3</v>
      </c>
      <c r="AG7" s="1">
        <f t="shared" ca="1" si="4"/>
        <v>3.0563642027834001E-3</v>
      </c>
      <c r="AH7" s="1">
        <f t="shared" ca="1" si="4"/>
        <v>2.1387003848620826E-3</v>
      </c>
      <c r="AI7" s="1">
        <f ca="1">AH7*EXP(-AH8)/(1-EXP(-AI8))</f>
        <v>4.9843566083322454E-3</v>
      </c>
    </row>
    <row r="8" spans="1:35">
      <c r="A8" s="5"/>
      <c r="B8" s="26"/>
      <c r="C8" s="26"/>
      <c r="E8" t="s">
        <v>111</v>
      </c>
      <c r="F8">
        <f ca="1">SUMXMY2(E4:E6,F4:F6)</f>
        <v>292021.9861328961</v>
      </c>
      <c r="J8" t="s">
        <v>11</v>
      </c>
      <c r="K8" s="1">
        <f ca="1">M+f1_*flt1_ +f2_*flt2_ +f3_*flt3_</f>
        <v>0.15033086220108099</v>
      </c>
      <c r="L8" s="1">
        <f t="shared" ref="L8:AI8" ca="1" si="5">M+f1_*flt1_ +f2_*flt2_ +f3_*flt3_</f>
        <v>0.15407718613123414</v>
      </c>
      <c r="M8" s="1">
        <f t="shared" ca="1" si="5"/>
        <v>0.17771778388825354</v>
      </c>
      <c r="N8" s="1">
        <f t="shared" ca="1" si="5"/>
        <v>0.19498879870488017</v>
      </c>
      <c r="O8" s="1">
        <f t="shared" ca="1" si="5"/>
        <v>0.19548341707276354</v>
      </c>
      <c r="P8" s="1">
        <f t="shared" ca="1" si="5"/>
        <v>0.18268204978669478</v>
      </c>
      <c r="Q8" s="1">
        <f t="shared" ca="1" si="5"/>
        <v>0.19414409331688542</v>
      </c>
      <c r="R8" s="1">
        <f t="shared" ca="1" si="5"/>
        <v>0.20440322401249245</v>
      </c>
      <c r="S8" s="1">
        <f t="shared" ca="1" si="5"/>
        <v>0.20716660637507983</v>
      </c>
      <c r="T8" s="1">
        <f t="shared" ca="1" si="5"/>
        <v>0.21164473952595517</v>
      </c>
      <c r="U8" s="1">
        <f t="shared" ca="1" si="5"/>
        <v>0.22521857413746177</v>
      </c>
      <c r="V8" s="1">
        <f t="shared" ca="1" si="5"/>
        <v>0.25298528601544429</v>
      </c>
      <c r="W8" s="1">
        <f t="shared" ca="1" si="5"/>
        <v>0.2902112373245192</v>
      </c>
      <c r="X8" s="1">
        <f t="shared" ca="1" si="5"/>
        <v>0.3219434491456295</v>
      </c>
      <c r="Y8" s="1">
        <f t="shared" ca="1" si="5"/>
        <v>0.33994631009620857</v>
      </c>
      <c r="Z8" s="1">
        <f t="shared" ca="1" si="5"/>
        <v>0.34996569434755997</v>
      </c>
      <c r="AA8" s="1">
        <f t="shared" ca="1" si="5"/>
        <v>0.35421784220787556</v>
      </c>
      <c r="AB8" s="1">
        <f t="shared" ca="1" si="5"/>
        <v>0.3559322982742823</v>
      </c>
      <c r="AC8" s="1">
        <f t="shared" ca="1" si="5"/>
        <v>0.35660868557644765</v>
      </c>
      <c r="AD8" s="1">
        <f t="shared" ca="1" si="5"/>
        <v>0.35687270566107809</v>
      </c>
      <c r="AE8" s="1">
        <f t="shared" ca="1" si="5"/>
        <v>0.35697479916092978</v>
      </c>
      <c r="AF8" s="1">
        <f t="shared" ca="1" si="5"/>
        <v>0.35701359551256928</v>
      </c>
      <c r="AG8" s="1">
        <f t="shared" ca="1" si="5"/>
        <v>0.35702769274586088</v>
      </c>
      <c r="AH8" s="1">
        <f t="shared" ca="1" si="5"/>
        <v>0.35703215881710093</v>
      </c>
      <c r="AI8" s="1">
        <f t="shared" ca="1" si="5"/>
        <v>0.35703287033438147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0.86042324779505786</v>
      </c>
      <c r="L10" s="1">
        <f t="shared" ca="1" si="6"/>
        <v>0.8572058540543589</v>
      </c>
      <c r="M10" s="1">
        <f t="shared" ca="1" si="6"/>
        <v>0.83717865545794667</v>
      </c>
      <c r="N10" s="1">
        <f t="shared" ca="1" si="6"/>
        <v>0.82284387492147837</v>
      </c>
      <c r="O10" s="1">
        <f t="shared" ca="1" si="6"/>
        <v>0.82243698186372738</v>
      </c>
      <c r="P10" s="1">
        <f t="shared" ca="1" si="6"/>
        <v>0.83303297664754294</v>
      </c>
      <c r="Q10" s="1">
        <f t="shared" ca="1" si="6"/>
        <v>0.82353922921951794</v>
      </c>
      <c r="R10" s="1">
        <f t="shared" ca="1" si="6"/>
        <v>0.81513362346188867</v>
      </c>
      <c r="S10" s="1">
        <f t="shared" ca="1" si="6"/>
        <v>0.81288420701396258</v>
      </c>
      <c r="T10" s="1">
        <f t="shared" ca="1" si="6"/>
        <v>0.80925214180420768</v>
      </c>
      <c r="U10" s="1">
        <f t="shared" ca="1" si="6"/>
        <v>0.7983417028386407</v>
      </c>
      <c r="V10" s="1">
        <f t="shared" ca="1" si="6"/>
        <v>0.77647930684421262</v>
      </c>
      <c r="W10" s="1">
        <f t="shared" ca="1" si="6"/>
        <v>0.74810552307755118</v>
      </c>
      <c r="X10" s="1">
        <f t="shared" ca="1" si="6"/>
        <v>0.72473917379054076</v>
      </c>
      <c r="Y10" s="1">
        <f t="shared" ca="1" si="6"/>
        <v>0.71180853866865545</v>
      </c>
      <c r="Z10" s="1">
        <f t="shared" ca="1" si="6"/>
        <v>0.7047122649180686</v>
      </c>
      <c r="AA10" s="1">
        <f t="shared" ca="1" si="6"/>
        <v>0.70172208601546171</v>
      </c>
      <c r="AB10" s="1">
        <f t="shared" ca="1" si="6"/>
        <v>0.700520045045813</v>
      </c>
      <c r="AC10" s="1">
        <f t="shared" ca="1" si="6"/>
        <v>0.7000463823901929</v>
      </c>
      <c r="AD10" s="1">
        <f t="shared" ca="1" si="6"/>
        <v>0.69986158048185032</v>
      </c>
      <c r="AE10" s="1">
        <f t="shared" ca="1" si="6"/>
        <v>0.69979013281092062</v>
      </c>
      <c r="AF10" s="1">
        <f t="shared" ca="1" si="6"/>
        <v>0.69976298403349435</v>
      </c>
      <c r="AG10" s="1">
        <f t="shared" ca="1" si="6"/>
        <v>0.69975311938099194</v>
      </c>
      <c r="AH10" s="1">
        <f t="shared" ca="1" si="6"/>
        <v>0.69974999424068896</v>
      </c>
      <c r="AI10" s="1">
        <f t="shared" ca="1" si="6"/>
        <v>0.69974949635665307</v>
      </c>
    </row>
    <row r="11" spans="1:35">
      <c r="A11" s="5">
        <v>1</v>
      </c>
      <c r="B11" s="25">
        <f>'Status Quo'!B11</f>
        <v>0.33281383386907948</v>
      </c>
      <c r="C11" s="18">
        <f ca="1">mpr1_/SUM(mpr1_,mpr2_,mpr3_)</f>
        <v>0.28363576736936597</v>
      </c>
      <c r="J11" t="s">
        <v>56</v>
      </c>
      <c r="K11" s="1">
        <f ca="1">1-sa</f>
        <v>0.13957675220494214</v>
      </c>
      <c r="L11" s="1">
        <f t="shared" ref="L11:AI11" ca="1" si="7">1-sa</f>
        <v>0.1427941459456411</v>
      </c>
      <c r="M11" s="1">
        <f t="shared" ca="1" si="7"/>
        <v>0.16282134454205333</v>
      </c>
      <c r="N11" s="1">
        <f t="shared" ca="1" si="7"/>
        <v>0.17715612507852163</v>
      </c>
      <c r="O11" s="1">
        <f t="shared" ca="1" si="7"/>
        <v>0.17756301813627262</v>
      </c>
      <c r="P11" s="1">
        <f t="shared" ca="1" si="7"/>
        <v>0.16696702335245706</v>
      </c>
      <c r="Q11" s="1">
        <f t="shared" ca="1" si="7"/>
        <v>0.17646077078048206</v>
      </c>
      <c r="R11" s="1">
        <f t="shared" ca="1" si="7"/>
        <v>0.18486637653811133</v>
      </c>
      <c r="S11" s="1">
        <f t="shared" ca="1" si="7"/>
        <v>0.18711579298603742</v>
      </c>
      <c r="T11" s="1">
        <f t="shared" ca="1" si="7"/>
        <v>0.19074785819579232</v>
      </c>
      <c r="U11" s="1">
        <f t="shared" ca="1" si="7"/>
        <v>0.2016582971613593</v>
      </c>
      <c r="V11" s="1">
        <f t="shared" ca="1" si="7"/>
        <v>0.22352069315578738</v>
      </c>
      <c r="W11" s="1">
        <f t="shared" ca="1" si="7"/>
        <v>0.25189447692244882</v>
      </c>
      <c r="X11" s="1">
        <f t="shared" ca="1" si="7"/>
        <v>0.27526082620945924</v>
      </c>
      <c r="Y11" s="1">
        <f t="shared" ca="1" si="7"/>
        <v>0.28819146133134455</v>
      </c>
      <c r="Z11" s="1">
        <f t="shared" ca="1" si="7"/>
        <v>0.2952877350819314</v>
      </c>
      <c r="AA11" s="1">
        <f t="shared" ca="1" si="7"/>
        <v>0.29827791398453829</v>
      </c>
      <c r="AB11" s="1">
        <f t="shared" ca="1" si="7"/>
        <v>0.299479954954187</v>
      </c>
      <c r="AC11" s="1">
        <f t="shared" ca="1" si="7"/>
        <v>0.2999536176098071</v>
      </c>
      <c r="AD11" s="1">
        <f t="shared" ca="1" si="7"/>
        <v>0.30013841951814968</v>
      </c>
      <c r="AE11" s="1">
        <f t="shared" ca="1" si="7"/>
        <v>0.30020986718907938</v>
      </c>
      <c r="AF11" s="1">
        <f t="shared" ca="1" si="7"/>
        <v>0.30023701596650565</v>
      </c>
      <c r="AG11" s="1">
        <f t="shared" ca="1" si="7"/>
        <v>0.30024688061900806</v>
      </c>
      <c r="AH11" s="1">
        <f t="shared" ca="1" si="7"/>
        <v>0.30025000575931104</v>
      </c>
      <c r="AI11" s="1">
        <f t="shared" ca="1" si="7"/>
        <v>0.30025050364334693</v>
      </c>
    </row>
    <row r="12" spans="1:35">
      <c r="A12" s="5">
        <v>2</v>
      </c>
      <c r="B12" s="25">
        <f>'Status Quo'!B12</f>
        <v>0.52899969970753113</v>
      </c>
      <c r="C12" s="18">
        <f ca="1">mpr2_/SUM(mpr1_,mpr2_,mpr3_)</f>
        <v>0.55044115511719194</v>
      </c>
      <c r="J12" t="s">
        <v>100</v>
      </c>
      <c r="K12">
        <f>1/(1+EXP(($E18-len)/2.5))</f>
        <v>0.9990002914067494</v>
      </c>
      <c r="L12">
        <f t="shared" ref="L12:AI12" si="8">1/(1+EXP(($E18-len)/2.5))</f>
        <v>0.99999571682070976</v>
      </c>
      <c r="M12">
        <f t="shared" si="8"/>
        <v>0.99999997241775429</v>
      </c>
      <c r="N12">
        <f t="shared" si="8"/>
        <v>0.99999999974081777</v>
      </c>
      <c r="O12">
        <f t="shared" si="8"/>
        <v>0.99999999999654543</v>
      </c>
      <c r="P12">
        <f t="shared" si="8"/>
        <v>0.99999999999993627</v>
      </c>
      <c r="Q12">
        <f t="shared" si="8"/>
        <v>0.99999999999999845</v>
      </c>
      <c r="R12">
        <f>1/(1+EXP(($E18-len)/2.5))</f>
        <v>1</v>
      </c>
      <c r="S12">
        <f t="shared" si="8"/>
        <v>1</v>
      </c>
      <c r="T12">
        <f t="shared" si="8"/>
        <v>1</v>
      </c>
      <c r="U12">
        <f t="shared" si="8"/>
        <v>1</v>
      </c>
      <c r="V12">
        <f t="shared" si="8"/>
        <v>1</v>
      </c>
      <c r="W12">
        <f t="shared" si="8"/>
        <v>1</v>
      </c>
      <c r="X12">
        <f t="shared" si="8"/>
        <v>1</v>
      </c>
      <c r="Y12">
        <f t="shared" si="8"/>
        <v>1</v>
      </c>
      <c r="Z12">
        <f t="shared" si="8"/>
        <v>1</v>
      </c>
      <c r="AA12">
        <f t="shared" si="8"/>
        <v>1</v>
      </c>
      <c r="AB12">
        <f t="shared" si="8"/>
        <v>1</v>
      </c>
      <c r="AC12">
        <f t="shared" si="8"/>
        <v>1</v>
      </c>
      <c r="AD12">
        <f t="shared" si="8"/>
        <v>1</v>
      </c>
      <c r="AE12">
        <f t="shared" si="8"/>
        <v>1</v>
      </c>
      <c r="AF12">
        <f t="shared" si="8"/>
        <v>1</v>
      </c>
      <c r="AG12">
        <f t="shared" si="8"/>
        <v>1</v>
      </c>
      <c r="AH12">
        <f t="shared" si="8"/>
        <v>1</v>
      </c>
      <c r="AI12">
        <f t="shared" si="8"/>
        <v>1</v>
      </c>
    </row>
    <row r="13" spans="1:35">
      <c r="A13" s="5">
        <v>3</v>
      </c>
      <c r="B13" s="25">
        <f>1-SUM(B11:B12)</f>
        <v>0.13818646642338939</v>
      </c>
      <c r="C13" s="18">
        <f ca="1">mpr3_/SUM(mpr1_,mpr2_,mpr3_)</f>
        <v>0.16592307751344212</v>
      </c>
      <c r="J13" t="s">
        <v>101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7" t="s">
        <v>49</v>
      </c>
      <c r="B14" s="30">
        <v>0.4</v>
      </c>
      <c r="C14" s="29">
        <f ca="1">spr</f>
        <v>0.26465786010982051</v>
      </c>
      <c r="J14" t="s">
        <v>102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6" t="s">
        <v>50</v>
      </c>
      <c r="C15" s="26">
        <f ca="1">CHOOSE(C25,SUMXMY2(B14,C14),SUMXMY2(B7,C7))</f>
        <v>1.8317494830052922E-2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7">
        <v>1000000</v>
      </c>
      <c r="E18">
        <v>0</v>
      </c>
      <c r="F18" s="31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103</v>
      </c>
      <c r="K18" s="4">
        <f>((EXP(g*(ah-age)/gh)/(1+EXP((ah-age)/gh))) *(1/(1-g))*((1-g)/g)^g) *(sr+(1-sr)*dmr)</f>
        <v>1.7487762364830255E-5</v>
      </c>
      <c r="L18" s="4">
        <f t="shared" ref="K18:O20" si="12">((EXP(g*(ah-age)/gh)/(1+EXP((ah-age)/gh))) *(1/(1-g))*((1-g)/g)^g) *(sr+(1-sr)*dmr)</f>
        <v>4.4902575648024099E-5</v>
      </c>
      <c r="M18" s="4">
        <f t="shared" si="12"/>
        <v>1.151934800286429E-4</v>
      </c>
      <c r="N18" s="4">
        <f t="shared" si="12"/>
        <v>2.9548485398159626E-4</v>
      </c>
      <c r="O18" s="4">
        <f t="shared" si="12"/>
        <v>7.5773966004107367E-4</v>
      </c>
      <c r="P18" s="4">
        <f t="shared" ref="P18:AI18" si="13">((EXP(g*(ah-age)/gh)/(1+EXP((ah-age)/gh))) *(1/(1-g))*((1-g)/g)^g) *(sr_1+(1-sr_1)*dmr)</f>
        <v>1.9417388932822159E-3</v>
      </c>
      <c r="Q18" s="4">
        <f t="shared" si="13"/>
        <v>4.9665915350332393E-3</v>
      </c>
      <c r="R18" s="4">
        <f t="shared" si="13"/>
        <v>1.264389182496488E-2</v>
      </c>
      <c r="S18" s="4">
        <f t="shared" si="13"/>
        <v>3.1809350428012848E-2</v>
      </c>
      <c r="T18" s="4">
        <f t="shared" si="13"/>
        <v>7.7738615037063016E-2</v>
      </c>
      <c r="U18" s="4">
        <f t="shared" si="13"/>
        <v>0.1778073642559149</v>
      </c>
      <c r="V18" s="4">
        <f t="shared" si="13"/>
        <v>0.35685364201210734</v>
      </c>
      <c r="W18" s="4">
        <f t="shared" si="13"/>
        <v>0.58740290223317881</v>
      </c>
      <c r="X18" s="4">
        <f t="shared" si="13"/>
        <v>0.78510412978957989</v>
      </c>
      <c r="Y18" s="4">
        <f t="shared" si="13"/>
        <v>0.90364572756009798</v>
      </c>
      <c r="Z18" s="4">
        <f t="shared" si="13"/>
        <v>0.9601468195903865</v>
      </c>
      <c r="AA18" s="4">
        <f t="shared" si="13"/>
        <v>0.98412543859081891</v>
      </c>
      <c r="AB18" s="4">
        <f t="shared" si="13"/>
        <v>0.99379356165705124</v>
      </c>
      <c r="AC18" s="4">
        <f t="shared" si="13"/>
        <v>0.99760783010399812</v>
      </c>
      <c r="AD18" s="4">
        <f t="shared" si="13"/>
        <v>0.99909668637752946</v>
      </c>
      <c r="AE18" s="4">
        <f t="shared" si="13"/>
        <v>0.99967240980385075</v>
      </c>
      <c r="AF18" s="4">
        <f t="shared" si="13"/>
        <v>0.9998911893395418</v>
      </c>
      <c r="AG18" s="4">
        <f t="shared" si="13"/>
        <v>0.99997068614848739</v>
      </c>
      <c r="AH18" s="4">
        <f t="shared" si="13"/>
        <v>0.99999587111952148</v>
      </c>
      <c r="AI18" s="4">
        <f t="shared" si="13"/>
        <v>0.99999988349217228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104</v>
      </c>
      <c r="K19" s="4">
        <f t="shared" si="12"/>
        <v>6.9896416250594803E-3</v>
      </c>
      <c r="L19" s="4">
        <f t="shared" si="12"/>
        <v>9.0277809681983734E-2</v>
      </c>
      <c r="M19" s="4">
        <f t="shared" si="12"/>
        <v>0.61907439963303101</v>
      </c>
      <c r="N19" s="4">
        <f t="shared" si="12"/>
        <v>0.99464611588191998</v>
      </c>
      <c r="O19" s="4">
        <f t="shared" si="12"/>
        <v>0.96043359061188727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0.4602225942502744</v>
      </c>
      <c r="V19" s="4">
        <f t="shared" si="14"/>
        <v>0.42227975176266447</v>
      </c>
      <c r="W19" s="4">
        <f t="shared" si="14"/>
        <v>0.38746508956213416</v>
      </c>
      <c r="X19" s="4">
        <f t="shared" si="14"/>
        <v>0.35552070635654193</v>
      </c>
      <c r="Y19" s="4">
        <f t="shared" si="14"/>
        <v>0.32620996330624458</v>
      </c>
      <c r="Z19" s="4">
        <f>Y19</f>
        <v>0.32620996330624458</v>
      </c>
      <c r="AA19" s="4">
        <f t="shared" ref="AA19:AI20" si="15">Z19</f>
        <v>0.32620996330624458</v>
      </c>
      <c r="AB19" s="4">
        <f t="shared" si="15"/>
        <v>0.32620996330624458</v>
      </c>
      <c r="AC19" s="4">
        <f t="shared" si="15"/>
        <v>0.32620996330624458</v>
      </c>
      <c r="AD19" s="4">
        <f t="shared" si="15"/>
        <v>0.32620996330624458</v>
      </c>
      <c r="AE19" s="4">
        <f t="shared" si="15"/>
        <v>0.32620996330624458</v>
      </c>
      <c r="AF19" s="4">
        <f t="shared" si="15"/>
        <v>0.32620996330624458</v>
      </c>
      <c r="AG19" s="4">
        <f t="shared" si="15"/>
        <v>0.32620996330624458</v>
      </c>
      <c r="AH19" s="4">
        <f t="shared" si="15"/>
        <v>0.32620996330624458</v>
      </c>
      <c r="AI19" s="4">
        <f t="shared" si="15"/>
        <v>0.32620996330624458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105</v>
      </c>
      <c r="K20" s="4">
        <f t="shared" si="12"/>
        <v>6.4253994048997813E-4</v>
      </c>
      <c r="L20" s="4">
        <f t="shared" si="12"/>
        <v>2.3037124676492421E-3</v>
      </c>
      <c r="M20" s="4">
        <f t="shared" si="12"/>
        <v>8.232647706795217E-3</v>
      </c>
      <c r="N20" s="4">
        <f t="shared" si="12"/>
        <v>2.9153635000513982E-2</v>
      </c>
      <c r="O20" s="4">
        <f t="shared" si="12"/>
        <v>9.96878970146442E-2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199.30493904055479</v>
      </c>
      <c r="J22" s="8" t="s">
        <v>23</v>
      </c>
      <c r="K22" s="1">
        <f t="shared" ref="K22:AI22" ca="1" si="17">wa*flt1_*(1-EXP(-za))/za</f>
        <v>1.1461414539908888E-6</v>
      </c>
      <c r="L22" s="1">
        <f t="shared" ca="1" si="17"/>
        <v>1.9360081360862381E-5</v>
      </c>
      <c r="M22" s="1">
        <f t="shared" ca="1" si="17"/>
        <v>1.4883748448997301E-4</v>
      </c>
      <c r="N22" s="1">
        <f t="shared" ca="1" si="17"/>
        <v>8.1743926359859704E-4</v>
      </c>
      <c r="O22" s="1">
        <f t="shared" ca="1" si="17"/>
        <v>3.7387585920238726E-3</v>
      </c>
      <c r="P22" s="1">
        <f t="shared" ca="1" si="17"/>
        <v>1.5219713485545258E-2</v>
      </c>
      <c r="Q22" s="1">
        <f t="shared" ca="1" si="17"/>
        <v>5.6150303576070489E-2</v>
      </c>
      <c r="R22" s="1">
        <f t="shared" ca="1" si="17"/>
        <v>0.19387515157597354</v>
      </c>
      <c r="S22" s="1">
        <f t="shared" ca="1" si="17"/>
        <v>0.63320355557127472</v>
      </c>
      <c r="T22" s="1">
        <f t="shared" ca="1" si="17"/>
        <v>1.9339735053852367</v>
      </c>
      <c r="U22" s="1">
        <f t="shared" ca="1" si="17"/>
        <v>5.341815500855283</v>
      </c>
      <c r="V22" s="1">
        <f t="shared" ca="1" si="17"/>
        <v>12.547432765823478</v>
      </c>
      <c r="W22" s="1">
        <f t="shared" ca="1" si="17"/>
        <v>23.579554862578195</v>
      </c>
      <c r="X22" s="1">
        <f t="shared" ca="1" si="17"/>
        <v>35.462671193215606</v>
      </c>
      <c r="Y22" s="1">
        <f t="shared" ca="1" si="17"/>
        <v>45.558638509206808</v>
      </c>
      <c r="Z22" s="1">
        <f t="shared" ca="1" si="17"/>
        <v>53.556587977115029</v>
      </c>
      <c r="AA22" s="1">
        <f t="shared" ca="1" si="17"/>
        <v>60.238187219548806</v>
      </c>
      <c r="AB22" s="1">
        <f t="shared" ca="1" si="17"/>
        <v>66.198755547236615</v>
      </c>
      <c r="AC22" s="1">
        <f t="shared" ca="1" si="17"/>
        <v>71.751569484615985</v>
      </c>
      <c r="AD22" s="1">
        <f t="shared" ca="1" si="17"/>
        <v>77.034043493867259</v>
      </c>
      <c r="AE22" s="1">
        <f t="shared" ca="1" si="17"/>
        <v>82.098559403943781</v>
      </c>
      <c r="AF22" s="1">
        <f t="shared" ca="1" si="17"/>
        <v>86.961072532587764</v>
      </c>
      <c r="AG22" s="1">
        <f t="shared" ca="1" si="17"/>
        <v>91.623668278695249</v>
      </c>
      <c r="AH22" s="1">
        <f t="shared" ca="1" si="17"/>
        <v>96.084313769283682</v>
      </c>
      <c r="AI22" s="1">
        <f t="shared" ca="1" si="17"/>
        <v>100.34080989113323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8">wa*flt2_*(1-EXP(-za))/za</f>
        <v>4.5809851757433072E-4</v>
      </c>
      <c r="L23" s="1">
        <f t="shared" ca="1" si="18"/>
        <v>3.8923952920294554E-2</v>
      </c>
      <c r="M23" s="1">
        <f t="shared" ca="1" si="18"/>
        <v>0.79988447549817576</v>
      </c>
      <c r="N23" s="1">
        <f t="shared" ca="1" si="18"/>
        <v>2.7516225537514747</v>
      </c>
      <c r="O23" s="1">
        <f t="shared" ca="1" si="18"/>
        <v>4.7388694670856868</v>
      </c>
      <c r="P23" s="1">
        <f t="shared" ca="1" si="18"/>
        <v>5.5451676078242498</v>
      </c>
      <c r="Q23" s="1">
        <f t="shared" ca="1" si="18"/>
        <v>7.3404926125067629</v>
      </c>
      <c r="R23" s="1">
        <f t="shared" ca="1" si="18"/>
        <v>9.1350700134265761</v>
      </c>
      <c r="S23" s="1">
        <f t="shared" ca="1" si="18"/>
        <v>10.881576181089814</v>
      </c>
      <c r="T23" s="1">
        <f t="shared" ca="1" si="18"/>
        <v>12.478125060922169</v>
      </c>
      <c r="U23" s="1">
        <f t="shared" ca="1" si="18"/>
        <v>13.826335023287237</v>
      </c>
      <c r="V23" s="1">
        <f t="shared" ca="1" si="18"/>
        <v>14.847898885759141</v>
      </c>
      <c r="W23" s="1">
        <f t="shared" ca="1" si="18"/>
        <v>15.55364180519036</v>
      </c>
      <c r="X23" s="1">
        <f t="shared" ca="1" si="18"/>
        <v>16.058651882624627</v>
      </c>
      <c r="Y23" s="1">
        <f t="shared" ca="1" si="18"/>
        <v>16.446358725668208</v>
      </c>
      <c r="Z23" s="1">
        <f t="shared" ca="1" si="18"/>
        <v>18.195855302916716</v>
      </c>
      <c r="AA23" s="1">
        <f t="shared" ca="1" si="18"/>
        <v>19.967268472056983</v>
      </c>
      <c r="AB23" s="1">
        <f t="shared" ca="1" si="18"/>
        <v>21.729556772310062</v>
      </c>
      <c r="AC23" s="1">
        <f t="shared" ca="1" si="18"/>
        <v>23.462202423072416</v>
      </c>
      <c r="AD23" s="1">
        <f t="shared" ca="1" si="18"/>
        <v>25.151992639049215</v>
      </c>
      <c r="AE23" s="1">
        <f t="shared" ca="1" si="18"/>
        <v>26.790144239262247</v>
      </c>
      <c r="AF23" s="1">
        <f t="shared" ca="1" si="18"/>
        <v>28.370655309669004</v>
      </c>
      <c r="AG23" s="1">
        <f t="shared" ca="1" si="18"/>
        <v>29.889429641479012</v>
      </c>
      <c r="AH23" s="1">
        <f t="shared" ca="1" si="18"/>
        <v>31.343789883745892</v>
      </c>
      <c r="AI23" s="1">
        <f t="shared" ca="1" si="18"/>
        <v>32.732175726260124</v>
      </c>
      <c r="AM23" s="43"/>
    </row>
    <row r="24" spans="1:39">
      <c r="A24" t="s">
        <v>125</v>
      </c>
      <c r="B24" s="31">
        <v>0.16405328226882354</v>
      </c>
      <c r="J24" s="8" t="s">
        <v>25</v>
      </c>
      <c r="K24" s="1">
        <f t="shared" ref="K24:AI24" ca="1" si="19">wa*flt3_*(1-EXP(-za))/za</f>
        <v>4.2111829190992728E-5</v>
      </c>
      <c r="L24" s="1">
        <f t="shared" ca="1" si="19"/>
        <v>9.9326286214240734E-4</v>
      </c>
      <c r="M24" s="1">
        <f t="shared" ca="1" si="19"/>
        <v>1.0637117439866103E-2</v>
      </c>
      <c r="N24" s="1">
        <f t="shared" ca="1" si="19"/>
        <v>8.0651598905731828E-2</v>
      </c>
      <c r="O24" s="1">
        <f t="shared" ca="1" si="19"/>
        <v>0.49186943898922891</v>
      </c>
      <c r="P24" s="1">
        <f t="shared" ca="1" si="19"/>
        <v>0.2702216145783472</v>
      </c>
      <c r="Q24" s="1">
        <f t="shared" ca="1" si="19"/>
        <v>5.9681734960742316</v>
      </c>
      <c r="R24" s="1">
        <f t="shared" ca="1" si="19"/>
        <v>14.408709040160071</v>
      </c>
      <c r="S24" s="1">
        <f t="shared" ca="1" si="19"/>
        <v>19.828633735591421</v>
      </c>
      <c r="T24" s="1">
        <f t="shared" ca="1" si="19"/>
        <v>23.266341244905384</v>
      </c>
      <c r="U24" s="1">
        <f t="shared" ca="1" si="19"/>
        <v>25.532476243999035</v>
      </c>
      <c r="V24" s="1">
        <f t="shared" ca="1" si="19"/>
        <v>26.928444751209721</v>
      </c>
      <c r="W24" s="1">
        <f t="shared" ca="1" si="19"/>
        <v>27.645087840403267</v>
      </c>
      <c r="X24" s="1">
        <f t="shared" ca="1" si="19"/>
        <v>27.957821248485317</v>
      </c>
      <c r="Y24" s="1">
        <f t="shared" ca="1" si="19"/>
        <v>28.042347196354278</v>
      </c>
      <c r="Z24" s="1">
        <f t="shared" ca="1" si="19"/>
        <v>31.025377741679002</v>
      </c>
      <c r="AA24" s="1">
        <f t="shared" ca="1" si="19"/>
        <v>34.045777815994384</v>
      </c>
      <c r="AB24" s="1">
        <f t="shared" ca="1" si="19"/>
        <v>37.050619264493299</v>
      </c>
      <c r="AC24" s="1">
        <f t="shared" ca="1" si="19"/>
        <v>40.004917642474062</v>
      </c>
      <c r="AD24" s="1">
        <f t="shared" ca="1" si="19"/>
        <v>42.88614410213215</v>
      </c>
      <c r="AE24" s="1">
        <f t="shared" ca="1" si="19"/>
        <v>45.679322622660301</v>
      </c>
      <c r="AF24" s="1">
        <f t="shared" ca="1" si="19"/>
        <v>48.374219464163254</v>
      </c>
      <c r="AG24" s="1">
        <f t="shared" ca="1" si="19"/>
        <v>50.963850265481966</v>
      </c>
      <c r="AH24" s="1">
        <f t="shared" ca="1" si="19"/>
        <v>53.443649930715452</v>
      </c>
      <c r="AI24" s="1">
        <f t="shared" ca="1" si="19"/>
        <v>55.810958007093618</v>
      </c>
      <c r="AM24" s="44"/>
    </row>
    <row r="25" spans="1:39">
      <c r="A25" s="40"/>
      <c r="B25" s="40" t="s">
        <v>97</v>
      </c>
      <c r="C25" s="40">
        <v>2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1.6236752975912045E-5</v>
      </c>
      <c r="L26">
        <f t="shared" ref="L26:AI26" ca="1" si="20">qa1_/wa</f>
        <v>4.161436940416291E-5</v>
      </c>
      <c r="M26">
        <f t="shared" ca="1" si="20"/>
        <v>1.0553787522207281E-4</v>
      </c>
      <c r="N26">
        <f t="shared" ca="1" si="20"/>
        <v>2.684613275145134E-4</v>
      </c>
      <c r="O26">
        <f t="shared" ca="1" si="20"/>
        <v>6.882759827569661E-4</v>
      </c>
      <c r="P26">
        <f t="shared" ca="1" si="20"/>
        <v>1.774702897835771E-3</v>
      </c>
      <c r="Q26">
        <f t="shared" ca="1" si="20"/>
        <v>4.5142170202072205E-3</v>
      </c>
      <c r="R26">
        <f t="shared" ca="1" si="20"/>
        <v>1.1435389428486946E-2</v>
      </c>
      <c r="S26">
        <f t="shared" ca="1" si="20"/>
        <v>2.8730652752654955E-2</v>
      </c>
      <c r="T26">
        <f t="shared" ca="1" si="20"/>
        <v>7.0063042202891543E-2</v>
      </c>
      <c r="U26">
        <f t="shared" ca="1" si="20"/>
        <v>0.15920680803490253</v>
      </c>
      <c r="V26">
        <f t="shared" ca="1" si="20"/>
        <v>0.31529174946895522</v>
      </c>
      <c r="W26">
        <f t="shared" ca="1" si="20"/>
        <v>0.50984775146835382</v>
      </c>
      <c r="X26">
        <f t="shared" ca="1" si="20"/>
        <v>0.67126202443269067</v>
      </c>
      <c r="Y26">
        <f t="shared" ca="1" si="20"/>
        <v>0.76607092066293669</v>
      </c>
      <c r="Z26">
        <f t="shared" ca="1" si="20"/>
        <v>0.81013534835615753</v>
      </c>
      <c r="AA26">
        <f t="shared" ca="1" si="20"/>
        <v>0.8287072189596828</v>
      </c>
      <c r="AB26">
        <f t="shared" ca="1" si="20"/>
        <v>0.83617376821888501</v>
      </c>
      <c r="AC26">
        <f t="shared" ca="1" si="20"/>
        <v>0.8391160667100902</v>
      </c>
      <c r="AD26">
        <f t="shared" ca="1" si="20"/>
        <v>0.84026403711567688</v>
      </c>
      <c r="AE26">
        <f t="shared" ca="1" si="20"/>
        <v>0.84070786533170938</v>
      </c>
      <c r="AF26">
        <f t="shared" ca="1" si="20"/>
        <v>0.84087651213253345</v>
      </c>
      <c r="AG26">
        <f t="shared" ca="1" si="20"/>
        <v>0.84093779089637077</v>
      </c>
      <c r="AH26">
        <f t="shared" ca="1" si="20"/>
        <v>0.84095720412886921</v>
      </c>
      <c r="AI26">
        <f t="shared" ca="1" si="20"/>
        <v>0.84096029696260577</v>
      </c>
      <c r="AM26" s="44"/>
    </row>
    <row r="27" spans="1:39">
      <c r="A27" t="s">
        <v>14</v>
      </c>
      <c r="B27" s="28">
        <f ca="1">fbar*C27</f>
        <v>0.17733080709272392</v>
      </c>
      <c r="C27" s="36">
        <f ca="1">CHOOSE(C$25,E36,E39,1)</f>
        <v>2.1358168973407969</v>
      </c>
      <c r="E27" s="42">
        <f ca="1">f1_/(F4/(f1_*365*re*phib))</f>
        <v>214.28701780708394</v>
      </c>
      <c r="J27" s="8" t="s">
        <v>31</v>
      </c>
      <c r="K27">
        <f t="shared" ref="K27:AI27" ca="1" si="21">qa2_/wa</f>
        <v>6.489628695120069E-3</v>
      </c>
      <c r="L27">
        <f t="shared" ca="1" si="21"/>
        <v>8.3666784519299695E-2</v>
      </c>
      <c r="M27">
        <f t="shared" ca="1" si="21"/>
        <v>0.56718311423011702</v>
      </c>
      <c r="N27">
        <f t="shared" ca="1" si="21"/>
        <v>0.90368089287394027</v>
      </c>
      <c r="O27">
        <f t="shared" ca="1" si="21"/>
        <v>0.87238851060714739</v>
      </c>
      <c r="P27">
        <f t="shared" ca="1" si="21"/>
        <v>0.64659725900472065</v>
      </c>
      <c r="Q27">
        <f t="shared" ca="1" si="21"/>
        <v>0.5901406506768232</v>
      </c>
      <c r="R27">
        <f t="shared" ca="1" si="21"/>
        <v>0.53881625474366468</v>
      </c>
      <c r="S27">
        <f t="shared" ca="1" si="21"/>
        <v>0.49373504603649027</v>
      </c>
      <c r="T27">
        <f t="shared" ca="1" si="21"/>
        <v>0.4520513855654924</v>
      </c>
      <c r="U27">
        <f t="shared" ca="1" si="21"/>
        <v>0.41207837775870343</v>
      </c>
      <c r="V27">
        <f t="shared" ca="1" si="21"/>
        <v>0.37309783626658172</v>
      </c>
      <c r="W27">
        <f t="shared" ca="1" si="21"/>
        <v>0.33630784583239692</v>
      </c>
      <c r="X27">
        <f t="shared" ca="1" si="21"/>
        <v>0.30396929530939265</v>
      </c>
      <c r="Y27">
        <f t="shared" ca="1" si="21"/>
        <v>0.27654639345685139</v>
      </c>
      <c r="Z27">
        <f t="shared" ca="1" si="21"/>
        <v>0.27524355324438537</v>
      </c>
      <c r="AA27">
        <f t="shared" ca="1" si="21"/>
        <v>0.2746931853276251</v>
      </c>
      <c r="AB27">
        <f t="shared" ca="1" si="21"/>
        <v>0.274471705968303</v>
      </c>
      <c r="AC27">
        <f t="shared" ca="1" si="21"/>
        <v>0.27438439542183962</v>
      </c>
      <c r="AD27">
        <f t="shared" ca="1" si="21"/>
        <v>0.27435032510105484</v>
      </c>
      <c r="AE27">
        <f t="shared" ca="1" si="21"/>
        <v>0.2743371520625833</v>
      </c>
      <c r="AF27">
        <f t="shared" ca="1" si="21"/>
        <v>0.27433214642987458</v>
      </c>
      <c r="AG27">
        <f t="shared" ca="1" si="21"/>
        <v>0.27433032758962789</v>
      </c>
      <c r="AH27">
        <f t="shared" ca="1" si="21"/>
        <v>0.27432975137575555</v>
      </c>
      <c r="AI27">
        <f t="shared" ca="1" si="21"/>
        <v>0.27432965957573285</v>
      </c>
    </row>
    <row r="28" spans="1:39">
      <c r="A28" t="s">
        <v>15</v>
      </c>
      <c r="B28" s="28">
        <f ca="1">fbar*C28</f>
        <v>4.4375909939816216E-2</v>
      </c>
      <c r="C28" s="36">
        <f ca="1">CHOOSE(C$25,E37,E40,1)</f>
        <v>0.53447463437514398</v>
      </c>
      <c r="E28" s="42">
        <f ca="1">f2_/(F5/(f2_*365*re*phib))</f>
        <v>35.98151431430869</v>
      </c>
      <c r="J28" s="8" t="s">
        <v>32</v>
      </c>
      <c r="K28">
        <f t="shared" ref="K28:AI28" ca="1" si="22">qa3_/wa</f>
        <v>5.9657502619514047E-4</v>
      </c>
      <c r="L28">
        <f t="shared" ca="1" si="22"/>
        <v>2.1350120844114617E-3</v>
      </c>
      <c r="M28">
        <f t="shared" ca="1" si="22"/>
        <v>7.5425809360998228E-3</v>
      </c>
      <c r="N28">
        <f t="shared" ca="1" si="22"/>
        <v>2.6487393342330277E-2</v>
      </c>
      <c r="O28">
        <f t="shared" ca="1" si="22"/>
        <v>9.0549286126860876E-2</v>
      </c>
      <c r="P28">
        <f t="shared" ca="1" si="22"/>
        <v>3.1509337078225091E-2</v>
      </c>
      <c r="Q28">
        <f t="shared" ca="1" si="22"/>
        <v>0.47981272868860514</v>
      </c>
      <c r="R28">
        <f t="shared" ca="1" si="22"/>
        <v>0.84987270259553049</v>
      </c>
      <c r="S28">
        <f t="shared" ca="1" si="22"/>
        <v>0.89969423798147174</v>
      </c>
      <c r="T28">
        <f t="shared" ca="1" si="22"/>
        <v>0.84288158240511835</v>
      </c>
      <c r="U28">
        <f t="shared" ca="1" si="22"/>
        <v>0.760966761840281</v>
      </c>
      <c r="V28">
        <f t="shared" ca="1" si="22"/>
        <v>0.67665765695217139</v>
      </c>
      <c r="W28">
        <f t="shared" ca="1" si="22"/>
        <v>0.59775453594095573</v>
      </c>
      <c r="X28">
        <f t="shared" ca="1" si="22"/>
        <v>0.52920502202823017</v>
      </c>
      <c r="Y28">
        <f t="shared" ca="1" si="22"/>
        <v>0.47153355405736114</v>
      </c>
      <c r="Z28">
        <f t="shared" ca="1" si="22"/>
        <v>0.46931210807112445</v>
      </c>
      <c r="AA28">
        <f t="shared" ca="1" si="22"/>
        <v>0.46837368708293103</v>
      </c>
      <c r="AB28">
        <f t="shared" ca="1" si="22"/>
        <v>0.46799604719348575</v>
      </c>
      <c r="AC28">
        <f t="shared" ca="1" si="22"/>
        <v>0.46784717578075136</v>
      </c>
      <c r="AD28">
        <f t="shared" ca="1" si="22"/>
        <v>0.46778908317919293</v>
      </c>
      <c r="AE28">
        <f t="shared" ca="1" si="22"/>
        <v>0.46776662210287739</v>
      </c>
      <c r="AF28">
        <f t="shared" ca="1" si="22"/>
        <v>0.46775808710174449</v>
      </c>
      <c r="AG28">
        <f t="shared" ca="1" si="22"/>
        <v>0.4677549858347379</v>
      </c>
      <c r="AH28">
        <f t="shared" ca="1" si="22"/>
        <v>0.46775400334434381</v>
      </c>
      <c r="AI28">
        <f t="shared" ca="1" si="22"/>
        <v>0.46775384681801768</v>
      </c>
    </row>
    <row r="29" spans="1:39">
      <c r="A29" t="s">
        <v>19</v>
      </c>
      <c r="B29" s="28">
        <f ca="1">fbar*C29</f>
        <v>2.7374757105308546E-2</v>
      </c>
      <c r="C29" s="36">
        <f ca="1">CHOOSE(C$25,E38,E41,1)</f>
        <v>0.3297084682840592</v>
      </c>
      <c r="E29" s="42">
        <f ca="1">f3_/(F6/(f3_*365*re*phib))</f>
        <v>18.007402016540144</v>
      </c>
    </row>
    <row r="30" spans="1:39">
      <c r="A30" t="s">
        <v>95</v>
      </c>
      <c r="B30" s="28">
        <v>8.3027158045949553E-2</v>
      </c>
      <c r="C30" s="36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0.24908147413784867</v>
      </c>
      <c r="G31">
        <f ca="1">SUMPRODUCT(dlz1_,wa,ma)</f>
        <v>-66.848672909861094</v>
      </c>
      <c r="H31">
        <f ca="1">Ro/(reck-1)*phie/phif^2*dphif</f>
        <v>-8841.4247781274717</v>
      </c>
      <c r="J31" s="8" t="s">
        <v>52</v>
      </c>
      <c r="K31">
        <v>0</v>
      </c>
      <c r="L31">
        <f t="shared" ref="L31:AH31" ca="1" si="23">K31*sa-K$7*K18*K$10</f>
        <v>-1.5046877290615429E-5</v>
      </c>
      <c r="M31">
        <f t="shared" ca="1" si="23"/>
        <v>-4.5715261232905511E-5</v>
      </c>
      <c r="N31">
        <f t="shared" ca="1" si="23"/>
        <v>-1.0874496700883636E-4</v>
      </c>
      <c r="O31">
        <f t="shared" ca="1" si="23"/>
        <v>-2.3956608718024512E-4</v>
      </c>
      <c r="P31">
        <f t="shared" ca="1" si="23"/>
        <v>-5.1619895921570962E-4</v>
      </c>
      <c r="Q31">
        <f t="shared" ca="1" si="23"/>
        <v>-1.1010195241920966E-3</v>
      </c>
      <c r="R31">
        <f t="shared" ca="1" si="23"/>
        <v>-2.3212499176240072E-3</v>
      </c>
      <c r="S31">
        <f t="shared" ca="1" si="23"/>
        <v>-4.8414587835463214E-3</v>
      </c>
      <c r="T31">
        <f t="shared" ca="1" si="23"/>
        <v>-9.96014928693836E-3</v>
      </c>
      <c r="U31">
        <f t="shared" ca="1" si="23"/>
        <v>-1.990138828729119E-2</v>
      </c>
      <c r="V31">
        <f t="shared" ca="1" si="23"/>
        <v>-3.727337458830398E-2</v>
      </c>
      <c r="W31">
        <f t="shared" ca="1" si="23"/>
        <v>-6.188858555855857E-2</v>
      </c>
      <c r="X31">
        <f t="shared" ca="1" si="23"/>
        <v>-8.6726747031121695E-2</v>
      </c>
      <c r="Y31">
        <f t="shared" ca="1" si="23"/>
        <v>-0.10229432730133595</v>
      </c>
      <c r="Z31">
        <f t="shared" ca="1" si="23"/>
        <v>-0.10531941921003773</v>
      </c>
      <c r="AA31">
        <f t="shared" ca="1" si="23"/>
        <v>-9.8787764935441336E-2</v>
      </c>
      <c r="AB31">
        <f t="shared" ca="1" si="23"/>
        <v>-8.709968626566518E-2</v>
      </c>
      <c r="AC31">
        <f t="shared" ca="1" si="23"/>
        <v>-7.3634106793823872E-2</v>
      </c>
      <c r="AD31">
        <f t="shared" ca="1" si="23"/>
        <v>-6.0430486304834052E-2</v>
      </c>
      <c r="AE31">
        <f t="shared" ca="1" si="23"/>
        <v>-4.8524481948209103E-2</v>
      </c>
      <c r="AF31">
        <f t="shared" ca="1" si="23"/>
        <v>-3.8321918924664182E-2</v>
      </c>
      <c r="AG31">
        <f t="shared" ca="1" si="23"/>
        <v>-2.9871913945975125E-2</v>
      </c>
      <c r="AH31">
        <f t="shared" ca="1" si="23"/>
        <v>-2.3041509302971021E-2</v>
      </c>
      <c r="AI31">
        <f ca="1">(AH31*sa-AH$7*AH18*AH$10)/oa-AH$7*AH$10*flt1_*sa/oa^2</f>
        <v>-7.0300080422182554E-2</v>
      </c>
    </row>
    <row r="32" spans="1:39">
      <c r="A32" s="12" t="s">
        <v>22</v>
      </c>
      <c r="B32" s="12"/>
      <c r="C32" s="12"/>
      <c r="G32">
        <f ca="1">SUMPRODUCT(dlz2_,wa,ma)</f>
        <v>-170.04456820852698</v>
      </c>
      <c r="H32">
        <f ca="1">Ro/(reck-1)*phie/phif^2*dphif</f>
        <v>-22490.143682763817</v>
      </c>
      <c r="J32" s="8" t="s">
        <v>53</v>
      </c>
      <c r="K32">
        <v>0</v>
      </c>
      <c r="L32">
        <f t="shared" ref="L32:AH32" ca="1" si="24">K32*sa-K$7*K19*K$10</f>
        <v>-6.0140501479572037E-3</v>
      </c>
      <c r="M32">
        <f t="shared" ca="1" si="24"/>
        <v>-7.1620121730394684E-2</v>
      </c>
      <c r="N32">
        <f t="shared" ca="1" si="24"/>
        <v>-0.44119165140935934</v>
      </c>
      <c r="O32">
        <f t="shared" ca="1" si="24"/>
        <v>-0.86821300433379911</v>
      </c>
      <c r="P32">
        <f t="shared" ca="1" si="24"/>
        <v>-1.1245811709830245</v>
      </c>
      <c r="Q32">
        <f t="shared" ca="1" si="24"/>
        <v>-1.1723983166067795</v>
      </c>
      <c r="R32">
        <f t="shared" ca="1" si="24"/>
        <v>-1.141790058882564</v>
      </c>
      <c r="S32">
        <f t="shared" ca="1" si="24"/>
        <v>-1.0673565825866189</v>
      </c>
      <c r="T32">
        <f t="shared" ca="1" si="24"/>
        <v>-0.96759535123688234</v>
      </c>
      <c r="U32">
        <f t="shared" ca="1" si="24"/>
        <v>-0.84957252891428836</v>
      </c>
      <c r="V32">
        <f t="shared" ca="1" si="24"/>
        <v>-0.71615358754291947</v>
      </c>
      <c r="W32">
        <f t="shared" ca="1" si="24"/>
        <v>-0.57599700021930555</v>
      </c>
      <c r="X32">
        <f t="shared" ca="1" si="24"/>
        <v>-0.4450684669055382</v>
      </c>
      <c r="Y32">
        <f t="shared" ca="1" si="24"/>
        <v>-0.33517109724865524</v>
      </c>
      <c r="Z32">
        <f t="shared" ca="1" si="24"/>
        <v>-0.24819547523911129</v>
      </c>
      <c r="AA32">
        <f t="shared" ca="1" si="24"/>
        <v>-0.1826181808444457</v>
      </c>
      <c r="AB32">
        <f t="shared" ca="1" si="24"/>
        <v>-0.13386000862727188</v>
      </c>
      <c r="AC32">
        <f t="shared" ca="1" si="24"/>
        <v>-9.7863918505048067E-2</v>
      </c>
      <c r="AD32">
        <f t="shared" ca="1" si="24"/>
        <v>-7.1400382031725815E-2</v>
      </c>
      <c r="AE32">
        <f t="shared" ca="1" si="24"/>
        <v>-5.200130988494199E-2</v>
      </c>
      <c r="AF32">
        <f t="shared" ca="1" si="24"/>
        <v>-3.781338342560852E-2</v>
      </c>
      <c r="AG32">
        <f t="shared" ca="1" si="24"/>
        <v>-2.7457049460859553E-2</v>
      </c>
      <c r="AH32">
        <f t="shared" ca="1" si="24"/>
        <v>-1.9910735576171696E-2</v>
      </c>
      <c r="AI32">
        <f ca="1">(AH32*sa-AH$7*AH19*AH$10)/oa-AH$7*AH$10*flt2_*sa/oa^2</f>
        <v>-5.1818311007088599E-2</v>
      </c>
    </row>
    <row r="33" spans="1:35">
      <c r="A33" s="59" t="s">
        <v>128</v>
      </c>
      <c r="B33" s="60">
        <f ca="1">SUMPRODUCT(lz,wa)</f>
        <v>60.499614666018886</v>
      </c>
      <c r="C33" s="59"/>
      <c r="D33" s="61"/>
      <c r="E33" s="61"/>
      <c r="G33">
        <f ca="1">SUMPRODUCT(dlz3_,wa,ma)</f>
        <v>-149.11236131531214</v>
      </c>
      <c r="H33">
        <f ca="1">Ro/(reck-1)*phie/phif^2*dphif</f>
        <v>-19721.643955983753</v>
      </c>
      <c r="J33" s="8" t="s">
        <v>54</v>
      </c>
      <c r="K33">
        <v>0</v>
      </c>
      <c r="L33">
        <f t="shared" ref="L33:AH33" ca="1" si="25">K33*sa-K$7*K20*K$10</f>
        <v>-5.5285630243443015E-4</v>
      </c>
      <c r="M33">
        <f t="shared" ca="1" si="25"/>
        <v>-2.1619653064384476E-3</v>
      </c>
      <c r="N33">
        <f t="shared" ca="1" si="25"/>
        <v>-6.8623676153447503E-3</v>
      </c>
      <c r="O33">
        <f t="shared" ca="1" si="25"/>
        <v>-2.0456269444451194E-2</v>
      </c>
      <c r="P33">
        <f t="shared" ca="1" si="25"/>
        <v>-5.869678083879027E-2</v>
      </c>
      <c r="Q33">
        <f t="shared" ca="1" si="25"/>
        <v>-6.0339678268901457E-2</v>
      </c>
      <c r="R33">
        <f t="shared" ca="1" si="25"/>
        <v>-0.20051654222613255</v>
      </c>
      <c r="S33">
        <f t="shared" ca="1" si="25"/>
        <v>-0.38257758389408636</v>
      </c>
      <c r="T33">
        <f t="shared" ca="1" si="25"/>
        <v>-0.49881156482393996</v>
      </c>
      <c r="U33">
        <f t="shared" ca="1" si="25"/>
        <v>-0.54198195089785617</v>
      </c>
      <c r="V33">
        <f t="shared" ca="1" si="25"/>
        <v>-0.52513335642850001</v>
      </c>
      <c r="W33">
        <f t="shared" ca="1" si="25"/>
        <v>-0.46583259169849556</v>
      </c>
      <c r="X33">
        <f t="shared" ca="1" si="25"/>
        <v>-0.38670055389274638</v>
      </c>
      <c r="Y33">
        <f t="shared" ca="1" si="25"/>
        <v>-0.30723434836505997</v>
      </c>
      <c r="Z33">
        <f t="shared" ca="1" si="25"/>
        <v>-0.23696644394041802</v>
      </c>
      <c r="AA33">
        <f t="shared" ca="1" si="25"/>
        <v>-0.18069921630540162</v>
      </c>
      <c r="AB33">
        <f t="shared" ca="1" si="25"/>
        <v>-0.1366984866404381</v>
      </c>
      <c r="AC33">
        <f t="shared" ca="1" si="25"/>
        <v>-0.10278108578561571</v>
      </c>
      <c r="AD33">
        <f t="shared" ca="1" si="25"/>
        <v>-7.6892925112455712E-2</v>
      </c>
      <c r="AE33">
        <f t="shared" ca="1" si="25"/>
        <v>-5.7280498041224953E-2</v>
      </c>
      <c r="AF33">
        <f t="shared" ca="1" si="25"/>
        <v>-4.2512155099078089E-2</v>
      </c>
      <c r="AG33">
        <f t="shared" ca="1" si="25"/>
        <v>-3.1448005343639243E-2</v>
      </c>
      <c r="AH33">
        <f t="shared" ca="1" si="25"/>
        <v>-2.319531640398128E-2</v>
      </c>
      <c r="AI33">
        <f ca="1">(AH33*sa-AH$7*AH20*AH$10)/oa-AH$7*AH$10*flt3_*sa/oa^2</f>
        <v>-6.3291415284531721E-2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26.217357988882686</v>
      </c>
      <c r="F35" s="37"/>
      <c r="G35" s="1">
        <f ca="1">SUM(dqa11_)</f>
        <v>863.83604493947132</v>
      </c>
      <c r="H35" s="1">
        <f ca="1">SUM(dqa12_)</f>
        <v>867.45838174006201</v>
      </c>
      <c r="I35" s="11">
        <f ca="1">SUM(dqa13_)</f>
        <v>865.1556922531023</v>
      </c>
      <c r="J35" s="8" t="s">
        <v>62</v>
      </c>
      <c r="K35">
        <f ca="1">flt1_*qa1_+lz*wa*flt1_^2/za*(sa-oa/za)</f>
        <v>1.0272725918322382E-11</v>
      </c>
      <c r="L35">
        <f t="shared" ref="L35:AI35" ca="1" si="26">flt1_*qa1_+lz*wa*flt1_^2/za*(sa-oa/za)</f>
        <v>5.0492711972962612E-10</v>
      </c>
      <c r="M35">
        <f t="shared" ca="1" si="26"/>
        <v>1.1009515921950267E-8</v>
      </c>
      <c r="N35">
        <f t="shared" ca="1" si="26"/>
        <v>1.6939078083748607E-7</v>
      </c>
      <c r="O35">
        <f t="shared" ca="1" si="26"/>
        <v>2.136740909002942E-6</v>
      </c>
      <c r="P35">
        <f t="shared" ca="1" si="26"/>
        <v>2.3566086423250759E-5</v>
      </c>
      <c r="Q35">
        <f t="shared" ca="1" si="26"/>
        <v>2.3190759175318018E-4</v>
      </c>
      <c r="R35">
        <f t="shared" ca="1" si="26"/>
        <v>2.1119359568149247E-3</v>
      </c>
      <c r="S35">
        <f t="shared" ca="1" si="26"/>
        <v>1.7869681392913932E-2</v>
      </c>
      <c r="T35">
        <f t="shared" ca="1" si="26"/>
        <v>0.13656875738105964</v>
      </c>
      <c r="U35">
        <f t="shared" ca="1" si="26"/>
        <v>0.87955050921210565</v>
      </c>
      <c r="V35">
        <f t="shared" ca="1" si="26"/>
        <v>4.214425753271378</v>
      </c>
      <c r="W35">
        <f t="shared" ca="1" si="26"/>
        <v>13.222664563766442</v>
      </c>
      <c r="X35">
        <f t="shared" ca="1" si="26"/>
        <v>26.902675757011799</v>
      </c>
      <c r="Y35">
        <f t="shared" ca="1" si="26"/>
        <v>40.165536359444395</v>
      </c>
      <c r="Z35">
        <f t="shared" ca="1" si="26"/>
        <v>50.531706018927679</v>
      </c>
      <c r="AA35">
        <f t="shared" ca="1" si="26"/>
        <v>58.559023350193328</v>
      </c>
      <c r="AB35">
        <f t="shared" ca="1" si="26"/>
        <v>65.225113479790451</v>
      </c>
      <c r="AC35">
        <f t="shared" ca="1" si="26"/>
        <v>71.151028063928806</v>
      </c>
      <c r="AD35">
        <f t="shared" ca="1" si="26"/>
        <v>76.641637095130193</v>
      </c>
      <c r="AE35">
        <f t="shared" ca="1" si="26"/>
        <v>81.830747147788188</v>
      </c>
      <c r="AF35">
        <f t="shared" ca="1" si="26"/>
        <v>86.772995328893515</v>
      </c>
      <c r="AG35">
        <f t="shared" ca="1" si="26"/>
        <v>91.489282696348141</v>
      </c>
      <c r="AH35">
        <f t="shared" ca="1" si="26"/>
        <v>95.987270761656248</v>
      </c>
      <c r="AI35">
        <f t="shared" ca="1" si="26"/>
        <v>100.10557988804318</v>
      </c>
    </row>
    <row r="36" spans="1:35">
      <c r="A36" t="s">
        <v>33</v>
      </c>
      <c r="B36" s="1">
        <f ca="1">SUMPRODUCT(lz,ta1_)</f>
        <v>0.32757542724087346</v>
      </c>
      <c r="C36" s="29">
        <f ca="1">B11/(phi_t1/SUM(B$36:B$38))</f>
        <v>4.1750065860662451</v>
      </c>
      <c r="E36" s="38">
        <f ca="1">C36/AVERAGE(C$36:C$38)</f>
        <v>2.2821892145579081</v>
      </c>
      <c r="G36" s="1">
        <f ca="1">SUM(dqa21_)</f>
        <v>867.45838174006201</v>
      </c>
      <c r="H36" s="1">
        <f ca="1">SUM(dqa22_)</f>
        <v>140.3384277753955</v>
      </c>
      <c r="I36" s="11">
        <f ca="1">SUM(dqa23_)</f>
        <v>862.96038765673075</v>
      </c>
      <c r="J36" s="8" t="s">
        <v>63</v>
      </c>
      <c r="K36">
        <f t="shared" ref="K36:AI36" ca="1" si="27">flt2_*qa2_+lz*wa*flt2_^2/za*(sa-oa/za)</f>
        <v>1.6410697222479965E-6</v>
      </c>
      <c r="L36">
        <f t="shared" ca="1" si="27"/>
        <v>2.0410245019781776E-3</v>
      </c>
      <c r="M36">
        <f t="shared" ca="1" si="27"/>
        <v>0.31797876401714148</v>
      </c>
      <c r="N36">
        <f t="shared" ca="1" si="27"/>
        <v>1.919360278610859</v>
      </c>
      <c r="O36">
        <f t="shared" ca="1" si="27"/>
        <v>3.4327842505551374</v>
      </c>
      <c r="P36">
        <f t="shared" ca="1" si="27"/>
        <v>3.1282673912263874</v>
      </c>
      <c r="Q36">
        <f t="shared" ca="1" si="27"/>
        <v>3.9633384503455247</v>
      </c>
      <c r="R36">
        <f t="shared" ca="1" si="27"/>
        <v>4.6887837593406374</v>
      </c>
      <c r="S36">
        <f t="shared" ca="1" si="27"/>
        <v>5.277323695757719</v>
      </c>
      <c r="T36">
        <f t="shared" ca="1" si="27"/>
        <v>5.6852423902484732</v>
      </c>
      <c r="U36">
        <f t="shared" ca="1" si="27"/>
        <v>5.8924671269086693</v>
      </c>
      <c r="V36">
        <f t="shared" ca="1" si="27"/>
        <v>5.9014489596109669</v>
      </c>
      <c r="W36">
        <f t="shared" ca="1" si="27"/>
        <v>5.753232996457216</v>
      </c>
      <c r="X36">
        <f t="shared" ca="1" si="27"/>
        <v>5.5165905856325228</v>
      </c>
      <c r="Y36">
        <f t="shared" ca="1" si="27"/>
        <v>5.234215683415794</v>
      </c>
      <c r="Z36">
        <f t="shared" ca="1" si="27"/>
        <v>5.8328808932098433</v>
      </c>
      <c r="AA36">
        <f t="shared" ca="1" si="27"/>
        <v>6.4340932623799194</v>
      </c>
      <c r="AB36">
        <f t="shared" ca="1" si="27"/>
        <v>7.027760108825821</v>
      </c>
      <c r="AC36">
        <f t="shared" ca="1" si="27"/>
        <v>7.6077445917436073</v>
      </c>
      <c r="AD36">
        <f t="shared" ca="1" si="27"/>
        <v>8.1704161715872328</v>
      </c>
      <c r="AE36">
        <f t="shared" ca="1" si="27"/>
        <v>8.7135584170305993</v>
      </c>
      <c r="AF36">
        <f t="shared" ca="1" si="27"/>
        <v>9.2357793526131893</v>
      </c>
      <c r="AG36">
        <f t="shared" ca="1" si="27"/>
        <v>9.7362143683899696</v>
      </c>
      <c r="AH36">
        <f t="shared" ca="1" si="27"/>
        <v>10.2143720473755</v>
      </c>
      <c r="AI36">
        <f t="shared" ca="1" si="27"/>
        <v>10.652531564541087</v>
      </c>
    </row>
    <row r="37" spans="1:35">
      <c r="A37" t="s">
        <v>34</v>
      </c>
      <c r="B37" s="1">
        <f ca="1">SUMPRODUCT(lz,ta2_)</f>
        <v>2.540376794941964</v>
      </c>
      <c r="C37" s="29">
        <f ca="1">B12/(phi_t2/SUM(B$36:B$38))</f>
        <v>0.85570564988588949</v>
      </c>
      <c r="E37" s="38">
        <f ca="1">C37/AVERAGE(C$36:C$38)</f>
        <v>0.46775547888317903</v>
      </c>
      <c r="G37" s="1">
        <f ca="1">SUM(dqa31_)</f>
        <v>865.1556922531023</v>
      </c>
      <c r="H37" s="1">
        <f ca="1">SUM(dqa32_)</f>
        <v>862.96038765673075</v>
      </c>
      <c r="I37" s="1">
        <f ca="1">SUM(dqa33_)</f>
        <v>384.36242544771818</v>
      </c>
      <c r="J37" s="8" t="s">
        <v>64</v>
      </c>
      <c r="K37">
        <f t="shared" ref="K37:AI37" ca="1" si="28">flt3_*qa3_+lz*wa*flt3_^2/za*(sa-oa/za)</f>
        <v>1.3868116208354396E-8</v>
      </c>
      <c r="L37">
        <f t="shared" ca="1" si="28"/>
        <v>1.3290543351448724E-6</v>
      </c>
      <c r="M37">
        <f t="shared" ca="1" si="28"/>
        <v>5.6233030540588086E-5</v>
      </c>
      <c r="N37">
        <f t="shared" ca="1" si="28"/>
        <v>1.648939589178349E-3</v>
      </c>
      <c r="O37">
        <f t="shared" ca="1" si="28"/>
        <v>3.6982536624285703E-2</v>
      </c>
      <c r="P37">
        <f t="shared" ca="1" si="28"/>
        <v>7.4287318384967669E-3</v>
      </c>
      <c r="Q37">
        <f t="shared" ca="1" si="28"/>
        <v>2.6199537700694995</v>
      </c>
      <c r="R37">
        <f t="shared" ca="1" si="28"/>
        <v>11.665049520621142</v>
      </c>
      <c r="S37">
        <f t="shared" ca="1" si="28"/>
        <v>17.523292132516886</v>
      </c>
      <c r="T37">
        <f t="shared" ca="1" si="28"/>
        <v>19.765440820469664</v>
      </c>
      <c r="U37">
        <f t="shared" ca="1" si="28"/>
        <v>20.094115275866333</v>
      </c>
      <c r="V37">
        <f t="shared" ca="1" si="28"/>
        <v>19.411146875125883</v>
      </c>
      <c r="W37">
        <f t="shared" ca="1" si="28"/>
        <v>18.17538942714117</v>
      </c>
      <c r="X37">
        <f t="shared" ca="1" si="28"/>
        <v>16.720884014827284</v>
      </c>
      <c r="Y37">
        <f t="shared" ca="1" si="28"/>
        <v>15.217412769932043</v>
      </c>
      <c r="Z37">
        <f t="shared" ca="1" si="28"/>
        <v>16.957909562469418</v>
      </c>
      <c r="AA37">
        <f t="shared" ca="1" si="28"/>
        <v>18.705811700517984</v>
      </c>
      <c r="AB37">
        <f t="shared" ca="1" si="28"/>
        <v>20.431776772766511</v>
      </c>
      <c r="AC37">
        <f t="shared" ca="1" si="28"/>
        <v>22.117963168309906</v>
      </c>
      <c r="AD37">
        <f t="shared" ca="1" si="28"/>
        <v>23.753815835122921</v>
      </c>
      <c r="AE37">
        <f t="shared" ca="1" si="28"/>
        <v>25.332890951933098</v>
      </c>
      <c r="AF37">
        <f t="shared" ca="1" si="28"/>
        <v>26.851141634464071</v>
      </c>
      <c r="AG37">
        <f t="shared" ca="1" si="28"/>
        <v>28.306054205937059</v>
      </c>
      <c r="AH37">
        <f t="shared" ca="1" si="28"/>
        <v>29.696199971861446</v>
      </c>
      <c r="AI37">
        <f t="shared" ca="1" si="28"/>
        <v>30.970059253760891</v>
      </c>
    </row>
    <row r="38" spans="1:35">
      <c r="A38" t="s">
        <v>35</v>
      </c>
      <c r="B38" s="1">
        <f ca="1">SUMPRODUCT(lz,ta3_)</f>
        <v>1.2413408028844499</v>
      </c>
      <c r="C38" s="29">
        <f ca="1">B13/(phi_t3/SUM(B$36:B$38))</f>
        <v>0.45744785099534591</v>
      </c>
      <c r="E38" s="38">
        <f ca="1">C38/AVERAGE(C$36:C$38)</f>
        <v>0.25005530655891206</v>
      </c>
      <c r="G38" t="s">
        <v>69</v>
      </c>
      <c r="J38" s="8" t="s">
        <v>60</v>
      </c>
      <c r="K38">
        <f t="shared" ref="K38:AI38" ca="1" si="29">flt1_*qa1_+lz*wa*flt2_*flt1_/za*(sa-oa/za)</f>
        <v>-3.8851934824210242E-9</v>
      </c>
      <c r="L38">
        <f t="shared" ca="1" si="29"/>
        <v>-7.3174716466439264E-7</v>
      </c>
      <c r="M38">
        <f t="shared" ca="1" si="29"/>
        <v>-3.2956837929809009E-5</v>
      </c>
      <c r="N38">
        <f t="shared" ca="1" si="29"/>
        <v>-2.4262659985416538E-4</v>
      </c>
      <c r="O38">
        <f t="shared" ca="1" si="29"/>
        <v>-8.796812593249826E-4</v>
      </c>
      <c r="P38">
        <f t="shared" ca="1" si="29"/>
        <v>-2.1516203498859608E-3</v>
      </c>
      <c r="Q38">
        <f t="shared" ca="1" si="29"/>
        <v>-5.8612244349712005E-3</v>
      </c>
      <c r="R38">
        <f t="shared" ca="1" si="29"/>
        <v>-1.3540641839430854E-2</v>
      </c>
      <c r="S38">
        <f t="shared" ca="1" si="29"/>
        <v>-1.8904361175512897E-2</v>
      </c>
      <c r="T38">
        <f t="shared" ca="1" si="29"/>
        <v>6.1462923049829837E-2</v>
      </c>
      <c r="U38">
        <f t="shared" ca="1" si="29"/>
        <v>0.76794929408444768</v>
      </c>
      <c r="V38">
        <f t="shared" ca="1" si="29"/>
        <v>4.1661755069409026</v>
      </c>
      <c r="W38">
        <f t="shared" ca="1" si="29"/>
        <v>13.436432359119065</v>
      </c>
      <c r="X38">
        <f t="shared" ca="1" si="29"/>
        <v>27.416583002910563</v>
      </c>
      <c r="Y38">
        <f t="shared" ca="1" si="29"/>
        <v>40.806672765953749</v>
      </c>
      <c r="Z38">
        <f t="shared" ca="1" si="29"/>
        <v>51.1196464168506</v>
      </c>
      <c r="AA38">
        <f t="shared" ca="1" si="29"/>
        <v>59.042308350111426</v>
      </c>
      <c r="AB38">
        <f t="shared" ca="1" si="29"/>
        <v>65.60316491531286</v>
      </c>
      <c r="AC38">
        <f t="shared" ca="1" si="29"/>
        <v>71.439680763602055</v>
      </c>
      <c r="AD38">
        <f t="shared" ca="1" si="29"/>
        <v>76.859055118734616</v>
      </c>
      <c r="AE38">
        <f t="shared" ca="1" si="29"/>
        <v>81.993049254468431</v>
      </c>
      <c r="AF38">
        <f t="shared" ca="1" si="29"/>
        <v>86.893337936327683</v>
      </c>
      <c r="AG38">
        <f t="shared" ca="1" si="29"/>
        <v>91.578019409408427</v>
      </c>
      <c r="AH38">
        <f t="shared" ca="1" si="29"/>
        <v>96.052389936735153</v>
      </c>
      <c r="AI38">
        <f t="shared" ca="1" si="29"/>
        <v>100.26406763458145</v>
      </c>
    </row>
    <row r="39" spans="1:35">
      <c r="A39" s="1" t="s">
        <v>36</v>
      </c>
      <c r="B39" s="1">
        <f ca="1">SUMPRODUCT(lz,qa1_)</f>
        <v>18.302347642941434</v>
      </c>
      <c r="C39" s="23">
        <f ca="1">B4/(phi_q1/SUM(B$39:B$41))</f>
        <v>2.6122937050394324</v>
      </c>
      <c r="D39" s="21"/>
      <c r="E39" s="39">
        <f ca="1">C39/AVERAGE(C$39:C$41)</f>
        <v>2.1358168973407965</v>
      </c>
      <c r="G39" s="1">
        <f ca="1">re*phi_q1+f1_*phi_q1*$H31+f1_*re*G35</f>
        <v>1265165.5346652637</v>
      </c>
      <c r="H39" s="1">
        <f ca="1">re*phi_q1+f1_*phi_q1*$H32+f1_*re*H35</f>
        <v>1225714.1720279695</v>
      </c>
      <c r="I39" s="1">
        <f ca="1">re*phi_q1+f1_*phi_q1*$H33+f1_*re*I35</f>
        <v>1231618.6449867119</v>
      </c>
      <c r="J39" s="8" t="s">
        <v>66</v>
      </c>
      <c r="K39">
        <f t="shared" ref="K39:AI39" ca="1" si="30">flt1_*qa1_+lz*wa*flt3_*flt1_/za*(sa-oa/za)</f>
        <v>-3.3895502870187948E-10</v>
      </c>
      <c r="L39">
        <f t="shared" ca="1" si="30"/>
        <v>-1.7825616818208317E-8</v>
      </c>
      <c r="M39">
        <f t="shared" ca="1" si="30"/>
        <v>-4.213533763905227E-7</v>
      </c>
      <c r="N39">
        <f t="shared" ca="1" si="30"/>
        <v>-6.87706037440306E-6</v>
      </c>
      <c r="O39">
        <f t="shared" ca="1" si="30"/>
        <v>-8.8767279896296081E-5</v>
      </c>
      <c r="P39">
        <f t="shared" ca="1" si="30"/>
        <v>-7.6738055150664847E-5</v>
      </c>
      <c r="Q39">
        <f t="shared" ca="1" si="30"/>
        <v>-4.7133209998224176E-3</v>
      </c>
      <c r="R39">
        <f t="shared" ca="1" si="30"/>
        <v>-2.277274631882914E-2</v>
      </c>
      <c r="S39">
        <f t="shared" ca="1" si="30"/>
        <v>-5.1008919371625452E-2</v>
      </c>
      <c r="T39">
        <f t="shared" ca="1" si="30"/>
        <v>-1.5381379991153465E-2</v>
      </c>
      <c r="U39">
        <f t="shared" ca="1" si="30"/>
        <v>0.61397244469027723</v>
      </c>
      <c r="V39">
        <f t="shared" ca="1" si="30"/>
        <v>3.912796720457886</v>
      </c>
      <c r="W39">
        <f t="shared" ca="1" si="30"/>
        <v>13.114380308082527</v>
      </c>
      <c r="X39">
        <f t="shared" ca="1" si="30"/>
        <v>27.101438534158426</v>
      </c>
      <c r="Y39">
        <f t="shared" ca="1" si="30"/>
        <v>40.55129563873119</v>
      </c>
      <c r="Z39">
        <f t="shared" ca="1" si="30"/>
        <v>50.90633085584949</v>
      </c>
      <c r="AA39">
        <f t="shared" ca="1" si="30"/>
        <v>58.87335436051427</v>
      </c>
      <c r="AB39">
        <f t="shared" ca="1" si="30"/>
        <v>65.472914093879936</v>
      </c>
      <c r="AC39">
        <f t="shared" ca="1" si="30"/>
        <v>71.34079565289187</v>
      </c>
      <c r="AD39">
        <f t="shared" ca="1" si="30"/>
        <v>76.784738007173345</v>
      </c>
      <c r="AE39">
        <f t="shared" ca="1" si="30"/>
        <v>81.93761910996048</v>
      </c>
      <c r="AF39">
        <f t="shared" ca="1" si="30"/>
        <v>86.852251335780537</v>
      </c>
      <c r="AG39">
        <f t="shared" ca="1" si="30"/>
        <v>91.547727065044811</v>
      </c>
      <c r="AH39">
        <f t="shared" ca="1" si="30"/>
        <v>96.030160820113196</v>
      </c>
      <c r="AI39">
        <f t="shared" ca="1" si="30"/>
        <v>100.20996649436884</v>
      </c>
    </row>
    <row r="40" spans="1:35">
      <c r="A40" s="1" t="s">
        <v>37</v>
      </c>
      <c r="B40" s="1">
        <f ca="1">SUMPRODUCT(lz,qa2_)</f>
        <v>27.276353163440191</v>
      </c>
      <c r="C40" s="23">
        <f ca="1">B5/(phi_q2/SUM(B$39:B$41))</f>
        <v>0.65370993394601795</v>
      </c>
      <c r="D40" s="21"/>
      <c r="E40" s="39">
        <f ca="1">C40/AVERAGE(C$39:C$41)</f>
        <v>0.53447463437514409</v>
      </c>
      <c r="G40" s="1">
        <f ca="1">re*phi_q1+f1_*phi_q1*$H32+f1_*re*G36</f>
        <v>1225714.1720279695</v>
      </c>
      <c r="H40" s="1">
        <f ca="1">re*phi_q2+f2_*phi_q2*$H32+f2_*re*H36</f>
        <v>225563.52924498002</v>
      </c>
      <c r="I40" s="1">
        <f ca="1">re*phi_q3+f3_*phi_q3*$H33+f3_*re*I36</f>
        <v>413758.12242903514</v>
      </c>
      <c r="J40" s="8" t="s">
        <v>65</v>
      </c>
      <c r="K40">
        <f t="shared" ref="K40:AI40" ca="1" si="31">flt1_*qa1_+lz*wa*flt1_*flt2_/za*(sa-oa/za)</f>
        <v>-3.885193482421025E-9</v>
      </c>
      <c r="L40">
        <f t="shared" ca="1" si="31"/>
        <v>-7.3174716466439275E-7</v>
      </c>
      <c r="M40">
        <f t="shared" ca="1" si="31"/>
        <v>-3.2956837929809009E-5</v>
      </c>
      <c r="N40">
        <f t="shared" ca="1" si="31"/>
        <v>-2.4262659985416538E-4</v>
      </c>
      <c r="O40">
        <f t="shared" ca="1" si="31"/>
        <v>-8.796812593249826E-4</v>
      </c>
      <c r="P40">
        <f t="shared" ca="1" si="31"/>
        <v>-2.1516203498859608E-3</v>
      </c>
      <c r="Q40">
        <f t="shared" ca="1" si="31"/>
        <v>-5.8612244349712005E-3</v>
      </c>
      <c r="R40">
        <f t="shared" ca="1" si="31"/>
        <v>-1.3540641839430854E-2</v>
      </c>
      <c r="S40">
        <f t="shared" ca="1" si="31"/>
        <v>-1.890436117551289E-2</v>
      </c>
      <c r="T40">
        <f t="shared" ca="1" si="31"/>
        <v>6.1462923049829837E-2</v>
      </c>
      <c r="U40">
        <f t="shared" ca="1" si="31"/>
        <v>0.76794929408444768</v>
      </c>
      <c r="V40">
        <f t="shared" ca="1" si="31"/>
        <v>4.1661755069409026</v>
      </c>
      <c r="W40">
        <f t="shared" ca="1" si="31"/>
        <v>13.436432359119065</v>
      </c>
      <c r="X40">
        <f t="shared" ca="1" si="31"/>
        <v>27.416583002910563</v>
      </c>
      <c r="Y40">
        <f t="shared" ca="1" si="31"/>
        <v>40.806672765953749</v>
      </c>
      <c r="Z40">
        <f t="shared" ca="1" si="31"/>
        <v>51.1196464168506</v>
      </c>
      <c r="AA40">
        <f t="shared" ca="1" si="31"/>
        <v>59.042308350111426</v>
      </c>
      <c r="AB40">
        <f t="shared" ca="1" si="31"/>
        <v>65.60316491531286</v>
      </c>
      <c r="AC40">
        <f t="shared" ca="1" si="31"/>
        <v>71.439680763602055</v>
      </c>
      <c r="AD40">
        <f t="shared" ca="1" si="31"/>
        <v>76.859055118734616</v>
      </c>
      <c r="AE40">
        <f t="shared" ca="1" si="31"/>
        <v>81.993049254468431</v>
      </c>
      <c r="AF40">
        <f t="shared" ca="1" si="31"/>
        <v>86.893337936327683</v>
      </c>
      <c r="AG40">
        <f t="shared" ca="1" si="31"/>
        <v>91.578019409408427</v>
      </c>
      <c r="AH40">
        <f t="shared" ca="1" si="31"/>
        <v>96.052389936735153</v>
      </c>
      <c r="AI40">
        <f t="shared" ca="1" si="31"/>
        <v>100.26406763458145</v>
      </c>
    </row>
    <row r="41" spans="1:35">
      <c r="A41" s="1" t="s">
        <v>38</v>
      </c>
      <c r="B41" s="1">
        <f ca="1">SUMPRODUCT(lz,qa3_)</f>
        <v>33.621546391629735</v>
      </c>
      <c r="C41" s="23">
        <f ca="1">B6/(phi_q3/SUM(B$39:B$41))</f>
        <v>0.40326273158949122</v>
      </c>
      <c r="D41" s="21"/>
      <c r="E41" s="39">
        <f ca="1">C41/AVERAGE(C$39:C$41)</f>
        <v>0.32970846828405936</v>
      </c>
      <c r="G41" s="1">
        <f ca="1">re*phi_q1+f1_*phi_q1*$H33+f1_*re*G37</f>
        <v>1231618.6449867119</v>
      </c>
      <c r="H41" s="1">
        <f ca="1">re*phi_q3+f3_*phi_q3*$H33+f3_*re*H37</f>
        <v>413758.1224290352</v>
      </c>
      <c r="I41" s="1">
        <f ca="1">re*phi_q3+f1_*phi_q3*$H33+f3_*re*I37</f>
        <v>215476.2947981772</v>
      </c>
      <c r="J41" s="8" t="s">
        <v>67</v>
      </c>
      <c r="K41">
        <f t="shared" ref="K41:AI41" ca="1" si="32">flt1_*qa1_+lz*wa*flt3_*flt2_/za*(sa-oa/za)</f>
        <v>-1.4346719370610229E-7</v>
      </c>
      <c r="L41">
        <f t="shared" ca="1" si="32"/>
        <v>-3.7585788010074612E-5</v>
      </c>
      <c r="M41">
        <f t="shared" ca="1" si="32"/>
        <v>-2.3565674964096998E-3</v>
      </c>
      <c r="N41">
        <f t="shared" ca="1" si="32"/>
        <v>-2.3962032782169698E-2</v>
      </c>
      <c r="O41">
        <f t="shared" ca="1" si="32"/>
        <v>-0.11610035625785747</v>
      </c>
      <c r="P41">
        <f t="shared" ca="1" si="32"/>
        <v>-3.8696544622904755E-2</v>
      </c>
      <c r="Q41">
        <f t="shared" ca="1" si="32"/>
        <v>-0.65234773709361349</v>
      </c>
      <c r="R41">
        <f t="shared" ca="1" si="32"/>
        <v>-1.1860648823210846</v>
      </c>
      <c r="S41">
        <f t="shared" ca="1" si="32"/>
        <v>-1.20258018685846</v>
      </c>
      <c r="T41">
        <f t="shared" ca="1" si="32"/>
        <v>-0.9189294204208196</v>
      </c>
      <c r="U41">
        <f t="shared" ca="1" si="32"/>
        <v>8.0547923833627411E-2</v>
      </c>
      <c r="V41">
        <f t="shared" ca="1" si="32"/>
        <v>3.8092453313576802</v>
      </c>
      <c r="W41">
        <f t="shared" ca="1" si="32"/>
        <v>13.365005458320265</v>
      </c>
      <c r="X41">
        <f t="shared" ca="1" si="32"/>
        <v>27.506589258447004</v>
      </c>
      <c r="Y41">
        <f t="shared" ca="1" si="32"/>
        <v>40.945929242804425</v>
      </c>
      <c r="Z41">
        <f t="shared" ca="1" si="32"/>
        <v>51.246925236935645</v>
      </c>
      <c r="AA41">
        <f t="shared" ca="1" si="32"/>
        <v>59.146500258299099</v>
      </c>
      <c r="AB41">
        <f t="shared" ca="1" si="32"/>
        <v>65.684504775368524</v>
      </c>
      <c r="AC41">
        <f t="shared" ca="1" si="32"/>
        <v>71.501733282000899</v>
      </c>
      <c r="AD41">
        <f t="shared" ca="1" si="32"/>
        <v>76.905778267658221</v>
      </c>
      <c r="AE41">
        <f t="shared" ca="1" si="32"/>
        <v>82.027923377747996</v>
      </c>
      <c r="AF41">
        <f t="shared" ca="1" si="32"/>
        <v>86.919194848933842</v>
      </c>
      <c r="AG41">
        <f t="shared" ca="1" si="32"/>
        <v>91.59708510366535</v>
      </c>
      <c r="AH41">
        <f t="shared" ca="1" si="32"/>
        <v>96.066381158898679</v>
      </c>
      <c r="AI41">
        <f t="shared" ca="1" si="32"/>
        <v>100.29811958956792</v>
      </c>
    </row>
    <row r="42" spans="1:35">
      <c r="A42" s="1" t="s">
        <v>96</v>
      </c>
      <c r="B42" s="1">
        <f ca="1">SUMPRODUCT(lz/SUM(lz),len,ta1_)</f>
        <v>7.510435033002226</v>
      </c>
      <c r="J42" s="8" t="s">
        <v>68</v>
      </c>
      <c r="K42">
        <f t="shared" ref="K42:AI42" ca="1" si="33">flt1_*qa1_+lz*wa*flt1_*flt3_/za*(sa-oa/za)</f>
        <v>-3.3895502870187948E-10</v>
      </c>
      <c r="L42">
        <f t="shared" ca="1" si="33"/>
        <v>-1.7825616818208314E-8</v>
      </c>
      <c r="M42">
        <f t="shared" ca="1" si="33"/>
        <v>-4.213533763905227E-7</v>
      </c>
      <c r="N42">
        <f t="shared" ca="1" si="33"/>
        <v>-6.8770603744030626E-6</v>
      </c>
      <c r="O42">
        <f t="shared" ca="1" si="33"/>
        <v>-8.8767279896296067E-5</v>
      </c>
      <c r="P42">
        <f t="shared" ca="1" si="33"/>
        <v>-7.6738055150664847E-5</v>
      </c>
      <c r="Q42">
        <f t="shared" ca="1" si="33"/>
        <v>-4.7133209998224167E-3</v>
      </c>
      <c r="R42">
        <f t="shared" ca="1" si="33"/>
        <v>-2.277274631882914E-2</v>
      </c>
      <c r="S42">
        <f t="shared" ca="1" si="33"/>
        <v>-5.1008919371625452E-2</v>
      </c>
      <c r="T42">
        <f t="shared" ca="1" si="33"/>
        <v>-1.5381379991153465E-2</v>
      </c>
      <c r="U42">
        <f t="shared" ca="1" si="33"/>
        <v>0.61397244469027734</v>
      </c>
      <c r="V42">
        <f t="shared" ca="1" si="33"/>
        <v>3.912796720457886</v>
      </c>
      <c r="W42">
        <f t="shared" ca="1" si="33"/>
        <v>13.114380308082527</v>
      </c>
      <c r="X42">
        <f t="shared" ca="1" si="33"/>
        <v>27.101438534158426</v>
      </c>
      <c r="Y42">
        <f t="shared" ca="1" si="33"/>
        <v>40.55129563873119</v>
      </c>
      <c r="Z42">
        <f t="shared" ca="1" si="33"/>
        <v>50.90633085584949</v>
      </c>
      <c r="AA42">
        <f t="shared" ca="1" si="33"/>
        <v>58.87335436051427</v>
      </c>
      <c r="AB42">
        <f t="shared" ca="1" si="33"/>
        <v>65.472914093879936</v>
      </c>
      <c r="AC42">
        <f t="shared" ca="1" si="33"/>
        <v>71.34079565289187</v>
      </c>
      <c r="AD42">
        <f t="shared" ca="1" si="33"/>
        <v>76.784738007173345</v>
      </c>
      <c r="AE42">
        <f t="shared" ca="1" si="33"/>
        <v>81.93761910996048</v>
      </c>
      <c r="AF42">
        <f t="shared" ca="1" si="33"/>
        <v>86.852251335780537</v>
      </c>
      <c r="AG42">
        <f t="shared" ca="1" si="33"/>
        <v>91.547727065044811</v>
      </c>
      <c r="AH42">
        <f t="shared" ca="1" si="33"/>
        <v>96.030160820113196</v>
      </c>
      <c r="AI42">
        <f t="shared" ca="1" si="33"/>
        <v>100.20996649436884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-1.4346719370610229E-7</v>
      </c>
      <c r="L43">
        <f t="shared" ca="1" si="34"/>
        <v>-3.7585788010074606E-5</v>
      </c>
      <c r="M43">
        <f t="shared" ca="1" si="34"/>
        <v>-2.3565674964096998E-3</v>
      </c>
      <c r="N43">
        <f t="shared" ca="1" si="34"/>
        <v>-2.3962032782169702E-2</v>
      </c>
      <c r="O43">
        <f t="shared" ca="1" si="34"/>
        <v>-0.11610035625785747</v>
      </c>
      <c r="P43">
        <f t="shared" ca="1" si="34"/>
        <v>-3.8696544622904755E-2</v>
      </c>
      <c r="Q43">
        <f t="shared" ca="1" si="34"/>
        <v>-0.65234773709361338</v>
      </c>
      <c r="R43">
        <f t="shared" ca="1" si="34"/>
        <v>-1.1860648823210846</v>
      </c>
      <c r="S43">
        <f t="shared" ca="1" si="34"/>
        <v>-1.20258018685846</v>
      </c>
      <c r="T43">
        <f t="shared" ca="1" si="34"/>
        <v>-0.9189294204208196</v>
      </c>
      <c r="U43">
        <f t="shared" ca="1" si="34"/>
        <v>8.0547923833627522E-2</v>
      </c>
      <c r="V43">
        <f t="shared" ca="1" si="34"/>
        <v>3.8092453313576802</v>
      </c>
      <c r="W43">
        <f t="shared" ca="1" si="34"/>
        <v>13.365005458320265</v>
      </c>
      <c r="X43">
        <f t="shared" ca="1" si="34"/>
        <v>27.506589258447004</v>
      </c>
      <c r="Y43">
        <f t="shared" ca="1" si="34"/>
        <v>40.945929242804425</v>
      </c>
      <c r="Z43">
        <f t="shared" ca="1" si="34"/>
        <v>51.246925236935645</v>
      </c>
      <c r="AA43">
        <f t="shared" ca="1" si="34"/>
        <v>59.146500258299099</v>
      </c>
      <c r="AB43">
        <f t="shared" ca="1" si="34"/>
        <v>65.684504775368524</v>
      </c>
      <c r="AC43">
        <f t="shared" ca="1" si="34"/>
        <v>71.501733282000899</v>
      </c>
      <c r="AD43">
        <f t="shared" ca="1" si="34"/>
        <v>76.905778267658221</v>
      </c>
      <c r="AE43">
        <f t="shared" ca="1" si="34"/>
        <v>82.027923377747996</v>
      </c>
      <c r="AF43">
        <f t="shared" ca="1" si="34"/>
        <v>86.919194848933842</v>
      </c>
      <c r="AG43">
        <f t="shared" ca="1" si="34"/>
        <v>91.59708510366535</v>
      </c>
      <c r="AH43">
        <f t="shared" ca="1" si="34"/>
        <v>96.066381158898679</v>
      </c>
      <c r="AI43">
        <f t="shared" ca="1" si="34"/>
        <v>100.29811958956792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0.26465786010982062</v>
      </c>
      <c r="G46" s="32" t="s">
        <v>94</v>
      </c>
      <c r="H46" s="32"/>
      <c r="I46" s="32"/>
      <c r="J46" s="8" t="s">
        <v>75</v>
      </c>
      <c r="K46">
        <f t="shared" ref="K46:AI46" ca="1" si="35">lz*qa1_</f>
        <v>1.1461414539908888E-6</v>
      </c>
      <c r="L46">
        <f t="shared" ca="1" si="35"/>
        <v>1.6657864082089775E-5</v>
      </c>
      <c r="M46">
        <f t="shared" ca="1" si="35"/>
        <v>1.0977655198680235E-4</v>
      </c>
      <c r="N46">
        <f t="shared" ca="1" si="35"/>
        <v>5.0474369838985104E-4</v>
      </c>
      <c r="O46">
        <f t="shared" ca="1" si="35"/>
        <v>1.8995917565930718E-3</v>
      </c>
      <c r="P46">
        <f t="shared" ca="1" si="35"/>
        <v>6.3597780528502649E-3</v>
      </c>
      <c r="Q46">
        <f t="shared" ca="1" si="35"/>
        <v>1.9545635040256731E-2</v>
      </c>
      <c r="R46">
        <f t="shared" ca="1" si="35"/>
        <v>5.5578154102326999E-2</v>
      </c>
      <c r="S46">
        <f t="shared" ca="1" si="35"/>
        <v>0.14796333818609364</v>
      </c>
      <c r="T46">
        <f t="shared" ca="1" si="35"/>
        <v>0.36735840615763005</v>
      </c>
      <c r="U46">
        <f t="shared" ca="1" si="35"/>
        <v>0.82113053717596873</v>
      </c>
      <c r="V46">
        <f t="shared" ca="1" si="35"/>
        <v>1.5398095639518419</v>
      </c>
      <c r="W46">
        <f t="shared" ca="1" si="35"/>
        <v>2.2468683359635051</v>
      </c>
      <c r="X46">
        <f t="shared" ca="1" si="35"/>
        <v>2.5279956841754769</v>
      </c>
      <c r="Y46">
        <f t="shared" ca="1" si="35"/>
        <v>2.3537338675400079</v>
      </c>
      <c r="Z46">
        <f t="shared" ca="1" si="35"/>
        <v>1.9695305135938144</v>
      </c>
      <c r="AA46">
        <f t="shared" ca="1" si="35"/>
        <v>1.5611101118070465</v>
      </c>
      <c r="AB46">
        <f t="shared" ca="1" si="35"/>
        <v>1.2038617444428157</v>
      </c>
      <c r="AC46">
        <f t="shared" ca="1" si="35"/>
        <v>0.91406853768437457</v>
      </c>
      <c r="AD46">
        <f t="shared" ca="1" si="35"/>
        <v>0.68700020339461965</v>
      </c>
      <c r="AE46">
        <f t="shared" ca="1" si="35"/>
        <v>0.51241503127779309</v>
      </c>
      <c r="AF46">
        <f t="shared" ca="1" si="35"/>
        <v>0.37982104682394885</v>
      </c>
      <c r="AG46">
        <f t="shared" ca="1" si="35"/>
        <v>0.2800352998547051</v>
      </c>
      <c r="AH46">
        <f t="shared" ca="1" si="35"/>
        <v>0.20549555883757611</v>
      </c>
      <c r="AI46">
        <f t="shared" ca="1" si="35"/>
        <v>0.50013437886627943</v>
      </c>
    </row>
    <row r="47" spans="1:35" ht="19" thickTop="1">
      <c r="A47" s="1" t="s">
        <v>41</v>
      </c>
      <c r="B47" s="11">
        <f ca="1">MAX(0,Ro*(reck-1/spr)/(reck-1))</f>
        <v>7544.946929783634</v>
      </c>
      <c r="F47" t="s">
        <v>84</v>
      </c>
      <c r="G47" s="31">
        <f ca="1">G39/G53</f>
        <v>1</v>
      </c>
      <c r="H47" s="31">
        <f ca="1">H53/H39</f>
        <v>0.43583179430432695</v>
      </c>
      <c r="I47" s="31">
        <f ca="1">I53/I39</f>
        <v>0.42393294770181861</v>
      </c>
      <c r="J47" s="8" t="s">
        <v>76</v>
      </c>
      <c r="K47">
        <f t="shared" ref="K47:AI47" ca="1" si="36">lz*qa2_</f>
        <v>4.5809851757433072E-4</v>
      </c>
      <c r="L47">
        <f t="shared" ca="1" si="36"/>
        <v>3.3491073988701769E-2</v>
      </c>
      <c r="M47">
        <f t="shared" ca="1" si="36"/>
        <v>0.5899626697458541</v>
      </c>
      <c r="N47">
        <f t="shared" ca="1" si="36"/>
        <v>1.6990426153978417</v>
      </c>
      <c r="O47">
        <f t="shared" ca="1" si="36"/>
        <v>2.407728970372927</v>
      </c>
      <c r="P47">
        <f t="shared" ca="1" si="36"/>
        <v>2.3171287215827268</v>
      </c>
      <c r="Q47">
        <f t="shared" ca="1" si="36"/>
        <v>2.5551881375918737</v>
      </c>
      <c r="R47">
        <f t="shared" ca="1" si="36"/>
        <v>2.6187488433390751</v>
      </c>
      <c r="S47">
        <f t="shared" ca="1" si="36"/>
        <v>2.5427436758906516</v>
      </c>
      <c r="T47">
        <f t="shared" ca="1" si="36"/>
        <v>2.3702207509315656</v>
      </c>
      <c r="U47">
        <f t="shared" ca="1" si="36"/>
        <v>2.1253496873916711</v>
      </c>
      <c r="V47">
        <f t="shared" ca="1" si="36"/>
        <v>1.822120678833647</v>
      </c>
      <c r="W47">
        <f t="shared" ca="1" si="36"/>
        <v>1.4820884229864277</v>
      </c>
      <c r="X47">
        <f t="shared" ca="1" si="36"/>
        <v>1.1447587360739466</v>
      </c>
      <c r="Y47">
        <f t="shared" ca="1" si="36"/>
        <v>0.84968192195854431</v>
      </c>
      <c r="Z47">
        <f t="shared" ca="1" si="36"/>
        <v>0.66914815886601531</v>
      </c>
      <c r="AA47">
        <f t="shared" ca="1" si="36"/>
        <v>0.51746418934031901</v>
      </c>
      <c r="AB47">
        <f t="shared" ca="1" si="36"/>
        <v>0.3951642580836156</v>
      </c>
      <c r="AC47">
        <f t="shared" ca="1" si="36"/>
        <v>0.29889326761431712</v>
      </c>
      <c r="AD47">
        <f t="shared" ca="1" si="36"/>
        <v>0.22430893245506989</v>
      </c>
      <c r="AE47">
        <f t="shared" ca="1" si="36"/>
        <v>0.16720966479758614</v>
      </c>
      <c r="AF47">
        <f t="shared" ca="1" si="36"/>
        <v>0.12391489300872864</v>
      </c>
      <c r="AG47">
        <f t="shared" ca="1" si="36"/>
        <v>9.1352982797829524E-2</v>
      </c>
      <c r="AH47">
        <f t="shared" ca="1" si="36"/>
        <v>6.7034975487403586E-2</v>
      </c>
      <c r="AI47">
        <f t="shared" ca="1" si="36"/>
        <v>0.16314883638627697</v>
      </c>
    </row>
    <row r="48" spans="1:35">
      <c r="A48" s="1" t="s">
        <v>43</v>
      </c>
      <c r="B48" s="1">
        <f ca="1">f1_*re*phi_q1</f>
        <v>24487.654004566448</v>
      </c>
      <c r="C48" s="20">
        <f ca="1">ye_1/SUM(ye_1,ye_2,ye_3)</f>
        <v>0.60367371601208464</v>
      </c>
      <c r="F48" t="s">
        <v>85</v>
      </c>
      <c r="G48" s="31">
        <f ca="1">G40/G54</f>
        <v>2.2944631692054411</v>
      </c>
      <c r="H48" s="31">
        <f t="shared" ref="H48:I49" ca="1" si="37">H40/H54</f>
        <v>1</v>
      </c>
      <c r="I48" s="31">
        <f ca="1">I54/I40</f>
        <v>0.53282875918410311</v>
      </c>
      <c r="J48" s="8" t="s">
        <v>77</v>
      </c>
      <c r="K48">
        <f t="shared" ref="K48:AI48" ca="1" si="38">lz*qa3_</f>
        <v>4.2111829190992728E-5</v>
      </c>
      <c r="L48">
        <f t="shared" ca="1" si="38"/>
        <v>8.5462645775878491E-4</v>
      </c>
      <c r="M48">
        <f t="shared" ca="1" si="38"/>
        <v>7.8455106899220015E-3</v>
      </c>
      <c r="N48">
        <f t="shared" ca="1" si="38"/>
        <v>4.9799891105700267E-2</v>
      </c>
      <c r="O48">
        <f t="shared" ca="1" si="38"/>
        <v>0.2499094575448941</v>
      </c>
      <c r="P48">
        <f t="shared" ca="1" si="38"/>
        <v>0.11291602141087004</v>
      </c>
      <c r="Q48">
        <f t="shared" ca="1" si="38"/>
        <v>2.0774908340996641</v>
      </c>
      <c r="R48">
        <f t="shared" ca="1" si="38"/>
        <v>4.130541974770793</v>
      </c>
      <c r="S48">
        <f t="shared" ca="1" si="38"/>
        <v>4.6334402474106948</v>
      </c>
      <c r="T48">
        <f t="shared" ca="1" si="38"/>
        <v>4.4194431893964543</v>
      </c>
      <c r="U48">
        <f t="shared" ca="1" si="38"/>
        <v>3.9247884788066498</v>
      </c>
      <c r="V48">
        <f t="shared" ca="1" si="38"/>
        <v>3.3046343060073937</v>
      </c>
      <c r="W48">
        <f t="shared" ca="1" si="38"/>
        <v>2.634268241090119</v>
      </c>
      <c r="X48">
        <f t="shared" ca="1" si="38"/>
        <v>1.9930041668333673</v>
      </c>
      <c r="Y48">
        <f t="shared" ca="1" si="38"/>
        <v>1.448775127642062</v>
      </c>
      <c r="Z48">
        <f t="shared" ca="1" si="38"/>
        <v>1.1409507301720148</v>
      </c>
      <c r="AA48">
        <f t="shared" ca="1" si="38"/>
        <v>0.88231752093025473</v>
      </c>
      <c r="AB48">
        <f t="shared" ca="1" si="38"/>
        <v>0.67378642954416423</v>
      </c>
      <c r="AC48">
        <f t="shared" ca="1" si="38"/>
        <v>0.5096367484683435</v>
      </c>
      <c r="AD48">
        <f t="shared" ca="1" si="38"/>
        <v>0.38246453625819743</v>
      </c>
      <c r="AE48">
        <f t="shared" ca="1" si="38"/>
        <v>0.28510575216395923</v>
      </c>
      <c r="AF48">
        <f t="shared" ca="1" si="38"/>
        <v>0.21128472937456738</v>
      </c>
      <c r="AG48">
        <f t="shared" ca="1" si="38"/>
        <v>0.15576408758743238</v>
      </c>
      <c r="AH48">
        <f t="shared" ca="1" si="38"/>
        <v>0.11429995467525556</v>
      </c>
      <c r="AI48">
        <f t="shared" ca="1" si="38"/>
        <v>0.27818171736001052</v>
      </c>
    </row>
    <row r="49" spans="1:47">
      <c r="A49" s="1" t="s">
        <v>44</v>
      </c>
      <c r="B49" s="1">
        <f ca="1">f2_*re*phi_q2</f>
        <v>9132.5017837425094</v>
      </c>
      <c r="C49" s="20">
        <f ca="1">ye_2/SUM(ye_1,ye_2,ye_3)</f>
        <v>0.22513595166163158</v>
      </c>
      <c r="F49" t="s">
        <v>86</v>
      </c>
      <c r="G49" s="31">
        <f ca="1">G41/G55</f>
        <v>2.3588636019471863</v>
      </c>
      <c r="H49" s="31">
        <f t="shared" ca="1" si="37"/>
        <v>1.8767755733216345</v>
      </c>
      <c r="I49" s="31">
        <f t="shared" ca="1" si="37"/>
        <v>0.99999999999999956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6944.2308249327079</v>
      </c>
      <c r="C50" s="20">
        <f ca="1">ye_3/SUM(ye_1,ye_2,ye_3)</f>
        <v>0.17119033232628403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40564.386613241666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1124.7957746476752</v>
      </c>
      <c r="H52" s="57">
        <f ca="1">H40^0.5</f>
        <v>474.93528953424806</v>
      </c>
      <c r="I52" s="11">
        <f ca="1">I41^0.5</f>
        <v>464.19424253019037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3.245570079214418</v>
      </c>
      <c r="C53">
        <f ca="1">AVERAGE(B53:B55)/B53</f>
        <v>0.55217466736063847</v>
      </c>
      <c r="G53">
        <f ca="1">G$52*$J53</f>
        <v>1265165.5346652637</v>
      </c>
      <c r="H53">
        <f t="shared" ref="H53:I53" ca="1" si="39">H$52*$J53</f>
        <v>534205.20689919242</v>
      </c>
      <c r="I53">
        <f t="shared" ca="1" si="39"/>
        <v>522123.72261373629</v>
      </c>
      <c r="J53">
        <f t="array" aca="1" ref="J53:J55" ca="1">TRANSPOSE(G52:I52)</f>
        <v>1124.7957746476752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1.2104129914674431</v>
      </c>
      <c r="C54">
        <f ca="1">AVERAGE(B53:B55)/B54</f>
        <v>1.4805868670602962</v>
      </c>
      <c r="G54">
        <f t="shared" ref="G54:I55" ca="1" si="40">G$52*$J54</f>
        <v>534205.20689919242</v>
      </c>
      <c r="H54">
        <f t="shared" ca="1" si="40"/>
        <v>225563.52924498002</v>
      </c>
      <c r="I54">
        <f ca="1">I$52*$J54</f>
        <v>220462.22697620693</v>
      </c>
      <c r="J54">
        <f ca="1"/>
        <v>474.93528953424806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0.92038166597572701</v>
      </c>
      <c r="C55">
        <f ca="1">AVERAGE(B53:B55)/B55</f>
        <v>1.9471504541390179</v>
      </c>
      <c r="G55">
        <f t="shared" ca="1" si="40"/>
        <v>522123.72261373629</v>
      </c>
      <c r="H55">
        <f t="shared" ca="1" si="40"/>
        <v>220462.22697620693</v>
      </c>
      <c r="I55">
        <f t="shared" ca="1" si="40"/>
        <v>215476.2947981772</v>
      </c>
      <c r="J55">
        <f ca="1"/>
        <v>464.19424253019037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5.8089214896367952E-2</v>
      </c>
      <c r="C56">
        <f ca="1">AVERAGE(B56:B58)/B56</f>
        <v>1.1752161457805439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0.11273153186554356</v>
      </c>
      <c r="C57">
        <f ca="1">AVERAGE(B56:B58)/B57</f>
        <v>0.60557487432487622</v>
      </c>
      <c r="G57">
        <f t="array" aca="1" ref="G57:I59" ca="1">MMULT($G$52:$I$52,TRANSPOSE($G$52:$I$52))</f>
        <v>1706205.358708421</v>
      </c>
      <c r="H57">
        <f ca="1"/>
        <v>1706205.358708421</v>
      </c>
      <c r="I57">
        <f ca="1"/>
        <v>1706205.358708421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3.3981402963870512E-2</v>
      </c>
      <c r="C58">
        <f ca="1">AVERAGE(B56:B58)/B58</f>
        <v>2.0089630588386873</v>
      </c>
      <c r="G58">
        <f ca="1"/>
        <v>1706205.358708421</v>
      </c>
      <c r="H58">
        <f ca="1"/>
        <v>1706205.358708421</v>
      </c>
      <c r="I58">
        <f ca="1"/>
        <v>1706205.358708421</v>
      </c>
      <c r="AL58" s="31"/>
      <c r="AM58" s="31"/>
      <c r="AN58" s="31"/>
      <c r="AO58" s="31"/>
      <c r="AP58" s="31"/>
    </row>
    <row r="59" spans="1:47">
      <c r="G59">
        <f ca="1"/>
        <v>1706205.358708421</v>
      </c>
      <c r="H59">
        <f ca="1"/>
        <v>1706205.358708421</v>
      </c>
      <c r="I59">
        <f ca="1"/>
        <v>1706205.358708421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55.87216293083948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10.737128924240285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27.084863651871267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(1)'!K35:AI35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'No Size Limit (1)'!K46:AI46</xm:f>
              <xm:sqref>J46</xm:sqref>
            </x14:sparkline>
            <x14:sparkline>
              <xm:f>'No Size Limit (1)'!K47:AI47</xm:f>
              <xm:sqref>J47</xm:sqref>
            </x14:sparkline>
            <x14:sparkline>
              <xm:f>'No Size Limit (1)'!K48:AI48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(1)'!K18:AI18</xm:f>
              <xm:sqref>J18</xm:sqref>
            </x14:sparkline>
            <x14:sparkline>
              <xm:f>'No Size Limit (1)'!K19:AI19</xm:f>
              <xm:sqref>J19</xm:sqref>
            </x14:sparkline>
            <x14:sparkline>
              <xm:f>'No Size Limit (1)'!K20:AI20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'No Size Limit (1)'!K6:AI6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0.66021417938208493</v>
      </c>
      <c r="E4" s="47">
        <v>24977</v>
      </c>
      <c r="F4" s="47">
        <f ca="1">ye_1</f>
        <v>27503.775548065692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0.20562293233536852</v>
      </c>
      <c r="E5" s="47">
        <v>9315</v>
      </c>
      <c r="F5" s="47">
        <f ca="1">ye_2</f>
        <v>8566.0186574304516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0.13416288828254641</v>
      </c>
      <c r="E6" s="47">
        <v>7083</v>
      </c>
      <c r="F6" s="47">
        <f ca="1">ye_3</f>
        <v>5589.0740935872391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0.26919363715000283</v>
      </c>
      <c r="J7" t="s">
        <v>7</v>
      </c>
      <c r="K7" s="1">
        <f>1</f>
        <v>1</v>
      </c>
      <c r="L7" s="1">
        <f ca="1">K7*EXP(-K8)</f>
        <v>0.86044990731670723</v>
      </c>
      <c r="M7" s="1">
        <f t="shared" ref="M7:AH7" ca="1" si="4">L7*EXP(-L8)</f>
        <v>0.73785356652536382</v>
      </c>
      <c r="N7" s="1">
        <f t="shared" ca="1" si="4"/>
        <v>0.61924632506064425</v>
      </c>
      <c r="O7" s="1">
        <f t="shared" ca="1" si="4"/>
        <v>0.51162212084858072</v>
      </c>
      <c r="P7" s="1">
        <f t="shared" ca="1" si="4"/>
        <v>0.42261442230204754</v>
      </c>
      <c r="Q7" s="1">
        <f t="shared" ca="1" si="4"/>
        <v>0.35309088079975764</v>
      </c>
      <c r="R7" s="1">
        <f t="shared" ca="1" si="4"/>
        <v>0.2924340825035654</v>
      </c>
      <c r="S7" s="1">
        <f t="shared" ca="1" si="4"/>
        <v>0.24024047055460432</v>
      </c>
      <c r="T7" s="1">
        <f t="shared" ca="1" si="4"/>
        <v>0.19677675573412273</v>
      </c>
      <c r="U7" s="1">
        <f t="shared" ca="1" si="4"/>
        <v>0.16023103999121191</v>
      </c>
      <c r="V7" s="1">
        <f t="shared" ca="1" si="4"/>
        <v>0.12838581576281138</v>
      </c>
      <c r="W7" s="1">
        <f t="shared" ca="1" si="4"/>
        <v>9.9652811974266564E-2</v>
      </c>
      <c r="X7" s="1">
        <f t="shared" ca="1" si="4"/>
        <v>7.4158605884590265E-2</v>
      </c>
      <c r="Y7" s="1">
        <f t="shared" ca="1" si="4"/>
        <v>5.3236562025526908E-2</v>
      </c>
      <c r="Z7" s="1">
        <f t="shared" ca="1" si="4"/>
        <v>3.7433694945041035E-2</v>
      </c>
      <c r="AA7" s="1">
        <f t="shared" ca="1" si="4"/>
        <v>2.6031881792698833E-2</v>
      </c>
      <c r="AB7" s="1">
        <f t="shared" ca="1" si="4"/>
        <v>1.8018024645645891E-2</v>
      </c>
      <c r="AC7" s="1">
        <f t="shared" ca="1" si="4"/>
        <v>1.244760393034257E-2</v>
      </c>
      <c r="AD7" s="1">
        <f t="shared" ca="1" si="4"/>
        <v>8.5928977542057625E-3</v>
      </c>
      <c r="AE7" s="1">
        <f t="shared" ca="1" si="4"/>
        <v>5.9301650902451129E-3</v>
      </c>
      <c r="AF7" s="1">
        <f t="shared" ca="1" si="4"/>
        <v>4.0920875169172012E-3</v>
      </c>
      <c r="AG7" s="1">
        <f t="shared" ca="1" si="4"/>
        <v>2.8236080963300121E-3</v>
      </c>
      <c r="AH7" s="1">
        <f t="shared" ca="1" si="4"/>
        <v>1.9483059474651625E-3</v>
      </c>
      <c r="AI7" s="1">
        <f ca="1">AH7*EXP(-AH8)/(1-EXP(-AI8))</f>
        <v>4.3365927714779425E-3</v>
      </c>
    </row>
    <row r="8" spans="1:35">
      <c r="A8" s="5"/>
      <c r="B8" s="26"/>
      <c r="C8" s="26"/>
      <c r="E8" t="s">
        <v>111</v>
      </c>
      <c r="F8">
        <f ca="1">SUMXMY2(E4:E6,F4:F6)</f>
        <v>9177382.3356711529</v>
      </c>
      <c r="J8" t="s">
        <v>11</v>
      </c>
      <c r="K8" s="1">
        <f ca="1">M+f1_*flt1_ +f2_*flt2_ +f3_*flt3_</f>
        <v>0.15029987848613113</v>
      </c>
      <c r="L8" s="1">
        <f t="shared" ref="L8:AI8" ca="1" si="5">M+f1_*flt1_ +f2_*flt2_ +f3_*flt3_</f>
        <v>0.15371001492558103</v>
      </c>
      <c r="M8" s="1">
        <f t="shared" ca="1" si="5"/>
        <v>0.17524225171893798</v>
      </c>
      <c r="N8" s="1">
        <f t="shared" ca="1" si="5"/>
        <v>0.19091682651904801</v>
      </c>
      <c r="O8" s="1">
        <f t="shared" ca="1" si="5"/>
        <v>0.19112607518419258</v>
      </c>
      <c r="P8" s="1">
        <f t="shared" ca="1" si="5"/>
        <v>0.17973475565967509</v>
      </c>
      <c r="Q8" s="1">
        <f t="shared" ca="1" si="5"/>
        <v>0.1884861941759764</v>
      </c>
      <c r="R8" s="1">
        <f t="shared" ca="1" si="5"/>
        <v>0.19659889995393923</v>
      </c>
      <c r="S8" s="1">
        <f t="shared" ca="1" si="5"/>
        <v>0.19957051582326868</v>
      </c>
      <c r="T8" s="1">
        <f t="shared" ca="1" si="5"/>
        <v>0.20545309292184669</v>
      </c>
      <c r="U8" s="1">
        <f t="shared" ca="1" si="5"/>
        <v>0.2215768575968271</v>
      </c>
      <c r="V8" s="1">
        <f t="shared" ca="1" si="5"/>
        <v>0.25334765124860242</v>
      </c>
      <c r="W8" s="1">
        <f t="shared" ca="1" si="5"/>
        <v>0.29548614243868965</v>
      </c>
      <c r="X8" s="1">
        <f t="shared" ca="1" si="5"/>
        <v>0.33146070591523608</v>
      </c>
      <c r="Y8" s="1">
        <f t="shared" ca="1" si="5"/>
        <v>0.35217418323207988</v>
      </c>
      <c r="Z8" s="1">
        <f t="shared" ca="1" si="5"/>
        <v>0.36324922356165984</v>
      </c>
      <c r="AA8" s="1">
        <f t="shared" ca="1" si="5"/>
        <v>0.36794938355741819</v>
      </c>
      <c r="AB8" s="1">
        <f t="shared" ca="1" si="5"/>
        <v>0.36984447706839785</v>
      </c>
      <c r="AC8" s="1">
        <f t="shared" ca="1" si="5"/>
        <v>0.37059212946518932</v>
      </c>
      <c r="AD8" s="1">
        <f t="shared" ca="1" si="5"/>
        <v>0.37088396706835403</v>
      </c>
      <c r="AE8" s="1">
        <f t="shared" ca="1" si="5"/>
        <v>0.37099681727949285</v>
      </c>
      <c r="AF8" s="1">
        <f t="shared" ca="1" si="5"/>
        <v>0.3710397012679964</v>
      </c>
      <c r="AG8" s="1">
        <f t="shared" ca="1" si="5"/>
        <v>0.37105528380513875</v>
      </c>
      <c r="AH8" s="1">
        <f t="shared" ca="1" si="5"/>
        <v>0.37106022042777526</v>
      </c>
      <c r="AI8" s="1">
        <f t="shared" ca="1" si="5"/>
        <v>0.37106100691149313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0.86044990731670723</v>
      </c>
      <c r="L10" s="1">
        <f t="shared" ca="1" si="6"/>
        <v>0.8575206531503301</v>
      </c>
      <c r="M10" s="1">
        <f t="shared" ca="1" si="6"/>
        <v>0.83925368549310597</v>
      </c>
      <c r="N10" s="1">
        <f t="shared" ca="1" si="6"/>
        <v>0.82620130333187902</v>
      </c>
      <c r="O10" s="1">
        <f t="shared" ca="1" si="6"/>
        <v>0.82602843989836827</v>
      </c>
      <c r="P10" s="1">
        <f t="shared" ca="1" si="6"/>
        <v>0.83549179149262298</v>
      </c>
      <c r="Q10" s="1">
        <f t="shared" ca="1" si="6"/>
        <v>0.82821193750797695</v>
      </c>
      <c r="R10" s="1">
        <f t="shared" ca="1" si="6"/>
        <v>0.82152007897942358</v>
      </c>
      <c r="S10" s="1">
        <f t="shared" ca="1" si="6"/>
        <v>0.81908246050241273</v>
      </c>
      <c r="T10" s="1">
        <f t="shared" ca="1" si="6"/>
        <v>0.81427828908669475</v>
      </c>
      <c r="U10" s="1">
        <f t="shared" ca="1" si="6"/>
        <v>0.80125433729852136</v>
      </c>
      <c r="V10" s="1">
        <f t="shared" ca="1" si="6"/>
        <v>0.77619798871217904</v>
      </c>
      <c r="W10" s="1">
        <f t="shared" ca="1" si="6"/>
        <v>0.74416972702928141</v>
      </c>
      <c r="X10" s="1">
        <f t="shared" ca="1" si="6"/>
        <v>0.71787436387863868</v>
      </c>
      <c r="Y10" s="1">
        <f t="shared" ca="1" si="6"/>
        <v>0.70315763303970669</v>
      </c>
      <c r="Z10" s="1">
        <f t="shared" ca="1" si="6"/>
        <v>0.6954130985711674</v>
      </c>
      <c r="AA10" s="1">
        <f t="shared" ca="1" si="6"/>
        <v>0.69215221508494273</v>
      </c>
      <c r="AB10" s="1">
        <f t="shared" ca="1" si="6"/>
        <v>0.69084176401937436</v>
      </c>
      <c r="AC10" s="1">
        <f t="shared" ca="1" si="6"/>
        <v>0.69032544755537362</v>
      </c>
      <c r="AD10" s="1">
        <f t="shared" ca="1" si="6"/>
        <v>0.69012401402572432</v>
      </c>
      <c r="AE10" s="1">
        <f t="shared" ca="1" si="6"/>
        <v>0.69004613777928758</v>
      </c>
      <c r="AF10" s="1">
        <f t="shared" ca="1" si="6"/>
        <v>0.69001654648314914</v>
      </c>
      <c r="AG10" s="1">
        <f t="shared" ca="1" si="6"/>
        <v>0.69000579435845766</v>
      </c>
      <c r="AH10" s="1">
        <f t="shared" ca="1" si="6"/>
        <v>0.69000238806864167</v>
      </c>
      <c r="AI10" s="1">
        <f t="shared" ca="1" si="6"/>
        <v>0.69000184539321152</v>
      </c>
    </row>
    <row r="11" spans="1:35">
      <c r="A11" s="5">
        <v>1</v>
      </c>
      <c r="B11" s="25">
        <f>'Status Quo'!B11</f>
        <v>0.33281383386907948</v>
      </c>
      <c r="C11" s="18">
        <f ca="1">mpr1_/SUM(mpr1_,mpr2_,mpr3_)</f>
        <v>0.33281383386907942</v>
      </c>
      <c r="J11" t="s">
        <v>56</v>
      </c>
      <c r="K11" s="1">
        <f ca="1">1-sa</f>
        <v>0.13955009268329277</v>
      </c>
      <c r="L11" s="1">
        <f t="shared" ref="L11:AI11" ca="1" si="7">1-sa</f>
        <v>0.1424793468496699</v>
      </c>
      <c r="M11" s="1">
        <f t="shared" ca="1" si="7"/>
        <v>0.16074631450689403</v>
      </c>
      <c r="N11" s="1">
        <f t="shared" ca="1" si="7"/>
        <v>0.17379869666812098</v>
      </c>
      <c r="O11" s="1">
        <f t="shared" ca="1" si="7"/>
        <v>0.17397156010163173</v>
      </c>
      <c r="P11" s="1">
        <f t="shared" ca="1" si="7"/>
        <v>0.16450820850737702</v>
      </c>
      <c r="Q11" s="1">
        <f t="shared" ca="1" si="7"/>
        <v>0.17178806249202305</v>
      </c>
      <c r="R11" s="1">
        <f t="shared" ca="1" si="7"/>
        <v>0.17847992102057642</v>
      </c>
      <c r="S11" s="1">
        <f t="shared" ca="1" si="7"/>
        <v>0.18091753949758727</v>
      </c>
      <c r="T11" s="1">
        <f t="shared" ca="1" si="7"/>
        <v>0.18572171091330525</v>
      </c>
      <c r="U11" s="1">
        <f t="shared" ca="1" si="7"/>
        <v>0.19874566270147864</v>
      </c>
      <c r="V11" s="1">
        <f t="shared" ca="1" si="7"/>
        <v>0.22380201128782096</v>
      </c>
      <c r="W11" s="1">
        <f t="shared" ca="1" si="7"/>
        <v>0.25583027297071859</v>
      </c>
      <c r="X11" s="1">
        <f t="shared" ca="1" si="7"/>
        <v>0.28212563612136132</v>
      </c>
      <c r="Y11" s="1">
        <f t="shared" ca="1" si="7"/>
        <v>0.29684236696029331</v>
      </c>
      <c r="Z11" s="1">
        <f t="shared" ca="1" si="7"/>
        <v>0.3045869014288326</v>
      </c>
      <c r="AA11" s="1">
        <f t="shared" ca="1" si="7"/>
        <v>0.30784778491505727</v>
      </c>
      <c r="AB11" s="1">
        <f t="shared" ca="1" si="7"/>
        <v>0.30915823598062564</v>
      </c>
      <c r="AC11" s="1">
        <f t="shared" ca="1" si="7"/>
        <v>0.30967455244462638</v>
      </c>
      <c r="AD11" s="1">
        <f t="shared" ca="1" si="7"/>
        <v>0.30987598597427568</v>
      </c>
      <c r="AE11" s="1">
        <f t="shared" ca="1" si="7"/>
        <v>0.30995386222071242</v>
      </c>
      <c r="AF11" s="1">
        <f t="shared" ca="1" si="7"/>
        <v>0.30998345351685086</v>
      </c>
      <c r="AG11" s="1">
        <f t="shared" ca="1" si="7"/>
        <v>0.30999420564154234</v>
      </c>
      <c r="AH11" s="1">
        <f t="shared" ca="1" si="7"/>
        <v>0.30999761193135833</v>
      </c>
      <c r="AI11" s="1">
        <f t="shared" ca="1" si="7"/>
        <v>0.30999815460678848</v>
      </c>
    </row>
    <row r="12" spans="1:35">
      <c r="A12" s="5">
        <v>2</v>
      </c>
      <c r="B12" s="25">
        <f>'Status Quo'!B12</f>
        <v>0.52899969970753113</v>
      </c>
      <c r="C12" s="18">
        <f ca="1">mpr2_/SUM(mpr1_,mpr2_,mpr3_)</f>
        <v>0.52899969970753113</v>
      </c>
      <c r="J12" t="s">
        <v>100</v>
      </c>
      <c r="K12">
        <f>1/(1+EXP(($E18-len)/2.5))</f>
        <v>0.9990002914067494</v>
      </c>
      <c r="L12">
        <f t="shared" ref="L12:AI12" si="8">1/(1+EXP(($E18-len)/2.5))</f>
        <v>0.99999571682070976</v>
      </c>
      <c r="M12">
        <f t="shared" si="8"/>
        <v>0.99999997241775429</v>
      </c>
      <c r="N12">
        <f t="shared" si="8"/>
        <v>0.99999999974081777</v>
      </c>
      <c r="O12">
        <f t="shared" si="8"/>
        <v>0.99999999999654543</v>
      </c>
      <c r="P12">
        <f t="shared" si="8"/>
        <v>0.99999999999993627</v>
      </c>
      <c r="Q12">
        <f t="shared" si="8"/>
        <v>0.99999999999999845</v>
      </c>
      <c r="R12">
        <f>1/(1+EXP(($E18-len)/2.5))</f>
        <v>1</v>
      </c>
      <c r="S12">
        <f t="shared" si="8"/>
        <v>1</v>
      </c>
      <c r="T12">
        <f t="shared" si="8"/>
        <v>1</v>
      </c>
      <c r="U12">
        <f t="shared" si="8"/>
        <v>1</v>
      </c>
      <c r="V12">
        <f t="shared" si="8"/>
        <v>1</v>
      </c>
      <c r="W12">
        <f t="shared" si="8"/>
        <v>1</v>
      </c>
      <c r="X12">
        <f t="shared" si="8"/>
        <v>1</v>
      </c>
      <c r="Y12">
        <f t="shared" si="8"/>
        <v>1</v>
      </c>
      <c r="Z12">
        <f t="shared" si="8"/>
        <v>1</v>
      </c>
      <c r="AA12">
        <f t="shared" si="8"/>
        <v>1</v>
      </c>
      <c r="AB12">
        <f t="shared" si="8"/>
        <v>1</v>
      </c>
      <c r="AC12">
        <f t="shared" si="8"/>
        <v>1</v>
      </c>
      <c r="AD12">
        <f t="shared" si="8"/>
        <v>1</v>
      </c>
      <c r="AE12">
        <f t="shared" si="8"/>
        <v>1</v>
      </c>
      <c r="AF12">
        <f t="shared" si="8"/>
        <v>1</v>
      </c>
      <c r="AG12">
        <f t="shared" si="8"/>
        <v>1</v>
      </c>
      <c r="AH12">
        <f t="shared" si="8"/>
        <v>1</v>
      </c>
      <c r="AI12">
        <f t="shared" si="8"/>
        <v>1</v>
      </c>
    </row>
    <row r="13" spans="1:35">
      <c r="A13" s="5">
        <v>3</v>
      </c>
      <c r="B13" s="25">
        <f>1-SUM(B11:B12)</f>
        <v>0.13818646642338939</v>
      </c>
      <c r="C13" s="18">
        <f ca="1">mpr3_/SUM(mpr1_,mpr2_,mpr3_)</f>
        <v>0.13818646642338941</v>
      </c>
      <c r="J13" t="s">
        <v>101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7" t="s">
        <v>49</v>
      </c>
      <c r="B14" s="30">
        <v>0.4</v>
      </c>
      <c r="C14" s="29">
        <f ca="1">spr</f>
        <v>0.26919363715000283</v>
      </c>
      <c r="J14" t="s">
        <v>102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6" t="s">
        <v>50</v>
      </c>
      <c r="C15" s="26">
        <f ca="1">CHOOSE(C25,SUMXMY2(B14,C14),SUMXMY2(B7,C7))</f>
        <v>1.7110304562045126E-2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7">
        <v>1000000</v>
      </c>
      <c r="E18">
        <v>0</v>
      </c>
      <c r="F18" s="31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103</v>
      </c>
      <c r="K18" s="4">
        <f>((EXP(g*(ah-age)/gh)/(1+EXP((ah-age)/gh))) *(1/(1-g))*((1-g)/g)^g) *(sr+(1-sr)*dmr)</f>
        <v>1.7487762364830255E-5</v>
      </c>
      <c r="L18" s="4">
        <f t="shared" ref="K18:O20" si="12">((EXP(g*(ah-age)/gh)/(1+EXP((ah-age)/gh))) *(1/(1-g))*((1-g)/g)^g) *(sr+(1-sr)*dmr)</f>
        <v>4.4902575648024099E-5</v>
      </c>
      <c r="M18" s="4">
        <f t="shared" si="12"/>
        <v>1.151934800286429E-4</v>
      </c>
      <c r="N18" s="4">
        <f t="shared" si="12"/>
        <v>2.9548485398159626E-4</v>
      </c>
      <c r="O18" s="4">
        <f t="shared" si="12"/>
        <v>7.5773966004107367E-4</v>
      </c>
      <c r="P18" s="4">
        <f t="shared" ref="P18:AI18" si="13">((EXP(g*(ah-age)/gh)/(1+EXP((ah-age)/gh))) *(1/(1-g))*((1-g)/g)^g) *(sr_1+(1-sr_1)*dmr)</f>
        <v>1.9417388932822159E-3</v>
      </c>
      <c r="Q18" s="4">
        <f t="shared" si="13"/>
        <v>4.9665915350332393E-3</v>
      </c>
      <c r="R18" s="4">
        <f t="shared" si="13"/>
        <v>1.264389182496488E-2</v>
      </c>
      <c r="S18" s="4">
        <f t="shared" si="13"/>
        <v>3.1809350428012848E-2</v>
      </c>
      <c r="T18" s="4">
        <f t="shared" si="13"/>
        <v>7.7738615037063016E-2</v>
      </c>
      <c r="U18" s="4">
        <f t="shared" si="13"/>
        <v>0.1778073642559149</v>
      </c>
      <c r="V18" s="4">
        <f t="shared" si="13"/>
        <v>0.35685364201210734</v>
      </c>
      <c r="W18" s="4">
        <f t="shared" si="13"/>
        <v>0.58740290223317881</v>
      </c>
      <c r="X18" s="4">
        <f t="shared" si="13"/>
        <v>0.78510412978957989</v>
      </c>
      <c r="Y18" s="4">
        <f t="shared" si="13"/>
        <v>0.90364572756009798</v>
      </c>
      <c r="Z18" s="4">
        <f t="shared" si="13"/>
        <v>0.9601468195903865</v>
      </c>
      <c r="AA18" s="4">
        <f t="shared" si="13"/>
        <v>0.98412543859081891</v>
      </c>
      <c r="AB18" s="4">
        <f t="shared" si="13"/>
        <v>0.99379356165705124</v>
      </c>
      <c r="AC18" s="4">
        <f t="shared" si="13"/>
        <v>0.99760783010399812</v>
      </c>
      <c r="AD18" s="4">
        <f t="shared" si="13"/>
        <v>0.99909668637752946</v>
      </c>
      <c r="AE18" s="4">
        <f t="shared" si="13"/>
        <v>0.99967240980385075</v>
      </c>
      <c r="AF18" s="4">
        <f t="shared" si="13"/>
        <v>0.9998911893395418</v>
      </c>
      <c r="AG18" s="4">
        <f t="shared" si="13"/>
        <v>0.99997068614848739</v>
      </c>
      <c r="AH18" s="4">
        <f t="shared" si="13"/>
        <v>0.99999587111952148</v>
      </c>
      <c r="AI18" s="4">
        <f t="shared" si="13"/>
        <v>0.99999988349217228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104</v>
      </c>
      <c r="K19" s="4">
        <f t="shared" si="12"/>
        <v>6.9896416250594803E-3</v>
      </c>
      <c r="L19" s="4">
        <f t="shared" si="12"/>
        <v>9.0277809681983734E-2</v>
      </c>
      <c r="M19" s="4">
        <f t="shared" si="12"/>
        <v>0.61907439963303101</v>
      </c>
      <c r="N19" s="4">
        <f t="shared" si="12"/>
        <v>0.99464611588191998</v>
      </c>
      <c r="O19" s="4">
        <f t="shared" si="12"/>
        <v>0.96043359061188727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0.4602225942502744</v>
      </c>
      <c r="V19" s="4">
        <f t="shared" si="14"/>
        <v>0.42227975176266447</v>
      </c>
      <c r="W19" s="4">
        <f t="shared" si="14"/>
        <v>0.38746508956213416</v>
      </c>
      <c r="X19" s="4">
        <f t="shared" si="14"/>
        <v>0.35552070635654193</v>
      </c>
      <c r="Y19" s="4">
        <f t="shared" si="14"/>
        <v>0.32620996330624458</v>
      </c>
      <c r="Z19" s="4">
        <f>Y19</f>
        <v>0.32620996330624458</v>
      </c>
      <c r="AA19" s="4">
        <f t="shared" ref="AA19:AI20" si="15">Z19</f>
        <v>0.32620996330624458</v>
      </c>
      <c r="AB19" s="4">
        <f t="shared" si="15"/>
        <v>0.32620996330624458</v>
      </c>
      <c r="AC19" s="4">
        <f t="shared" si="15"/>
        <v>0.32620996330624458</v>
      </c>
      <c r="AD19" s="4">
        <f t="shared" si="15"/>
        <v>0.32620996330624458</v>
      </c>
      <c r="AE19" s="4">
        <f t="shared" si="15"/>
        <v>0.32620996330624458</v>
      </c>
      <c r="AF19" s="4">
        <f t="shared" si="15"/>
        <v>0.32620996330624458</v>
      </c>
      <c r="AG19" s="4">
        <f t="shared" si="15"/>
        <v>0.32620996330624458</v>
      </c>
      <c r="AH19" s="4">
        <f t="shared" si="15"/>
        <v>0.32620996330624458</v>
      </c>
      <c r="AI19" s="4">
        <f t="shared" si="15"/>
        <v>0.32620996330624458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105</v>
      </c>
      <c r="K20" s="4">
        <f t="shared" si="12"/>
        <v>6.4253994048997813E-4</v>
      </c>
      <c r="L20" s="4">
        <f t="shared" si="12"/>
        <v>2.3037124676492421E-3</v>
      </c>
      <c r="M20" s="4">
        <f t="shared" si="12"/>
        <v>8.232647706795217E-3</v>
      </c>
      <c r="N20" s="4">
        <f t="shared" si="12"/>
        <v>2.9153635000513982E-2</v>
      </c>
      <c r="O20" s="4">
        <f t="shared" si="12"/>
        <v>9.96878970146442E-2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199.30493904055479</v>
      </c>
      <c r="J22" s="8" t="s">
        <v>23</v>
      </c>
      <c r="K22" s="1">
        <f t="shared" ref="K22:AI22" ca="1" si="17">wa*flt1_*(1-EXP(-za))/za</f>
        <v>1.1461587653193168E-6</v>
      </c>
      <c r="L22" s="1">
        <f t="shared" ca="1" si="17"/>
        <v>1.9363544776524321E-5</v>
      </c>
      <c r="M22" s="1">
        <f t="shared" ca="1" si="17"/>
        <v>1.4901640204251641E-4</v>
      </c>
      <c r="N22" s="1">
        <f t="shared" ca="1" si="17"/>
        <v>8.1905165815539661E-4</v>
      </c>
      <c r="O22" s="1">
        <f t="shared" ca="1" si="17"/>
        <v>3.7466501688116815E-3</v>
      </c>
      <c r="P22" s="1">
        <f t="shared" ca="1" si="17"/>
        <v>1.5241480521023981E-2</v>
      </c>
      <c r="Q22" s="1">
        <f t="shared" ca="1" si="17"/>
        <v>5.630429887305137E-2</v>
      </c>
      <c r="R22" s="1">
        <f t="shared" ca="1" si="17"/>
        <v>0.19460780069267827</v>
      </c>
      <c r="S22" s="1">
        <f t="shared" ca="1" si="17"/>
        <v>0.63553130087895826</v>
      </c>
      <c r="T22" s="1">
        <f t="shared" ca="1" si="17"/>
        <v>1.9397614346623364</v>
      </c>
      <c r="U22" s="1">
        <f t="shared" ca="1" si="17"/>
        <v>5.3511885509668193</v>
      </c>
      <c r="V22" s="1">
        <f t="shared" ca="1" si="17"/>
        <v>12.54525539954564</v>
      </c>
      <c r="W22" s="1">
        <f t="shared" ca="1" si="17"/>
        <v>23.520470099889856</v>
      </c>
      <c r="X22" s="1">
        <f t="shared" ca="1" si="17"/>
        <v>35.303448425885563</v>
      </c>
      <c r="Y22" s="1">
        <f t="shared" ca="1" si="17"/>
        <v>45.296884159547744</v>
      </c>
      <c r="Z22" s="1">
        <f t="shared" ca="1" si="17"/>
        <v>53.223017659083631</v>
      </c>
      <c r="AA22" s="1">
        <f t="shared" ca="1" si="17"/>
        <v>59.850692979052312</v>
      </c>
      <c r="AB22" s="1">
        <f t="shared" ca="1" si="17"/>
        <v>65.767471905941022</v>
      </c>
      <c r="AC22" s="1">
        <f t="shared" ca="1" si="17"/>
        <v>71.281781414160761</v>
      </c>
      <c r="AD22" s="1">
        <f t="shared" ca="1" si="17"/>
        <v>76.528693424904986</v>
      </c>
      <c r="AE22" s="1">
        <f t="shared" ca="1" si="17"/>
        <v>81.559583729017632</v>
      </c>
      <c r="AF22" s="1">
        <f t="shared" ca="1" si="17"/>
        <v>86.390012758644943</v>
      </c>
      <c r="AG22" s="1">
        <f t="shared" ca="1" si="17"/>
        <v>91.021928030238996</v>
      </c>
      <c r="AH22" s="1">
        <f t="shared" ca="1" si="17"/>
        <v>95.453257566496049</v>
      </c>
      <c r="AI22" s="1">
        <f t="shared" ca="1" si="17"/>
        <v>99.681794731074135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8">wa*flt2_*(1-EXP(-za))/za</f>
        <v>4.5810543669750042E-4</v>
      </c>
      <c r="L23" s="1">
        <f t="shared" ca="1" si="18"/>
        <v>3.8930916208601875E-2</v>
      </c>
      <c r="M23" s="1">
        <f t="shared" ca="1" si="18"/>
        <v>0.80084601669301658</v>
      </c>
      <c r="N23" s="1">
        <f t="shared" ca="1" si="18"/>
        <v>2.757050114459171</v>
      </c>
      <c r="O23" s="1">
        <f t="shared" ca="1" si="18"/>
        <v>4.7488720257870405</v>
      </c>
      <c r="P23" s="1">
        <f t="shared" ca="1" si="18"/>
        <v>5.5530982341247777</v>
      </c>
      <c r="Q23" s="1">
        <f t="shared" ca="1" si="18"/>
        <v>7.3606243173748851</v>
      </c>
      <c r="R23" s="1">
        <f t="shared" ca="1" si="18"/>
        <v>9.1695912035944147</v>
      </c>
      <c r="S23" s="1">
        <f t="shared" ca="1" si="18"/>
        <v>10.921578385235495</v>
      </c>
      <c r="T23" s="1">
        <f t="shared" ca="1" si="18"/>
        <v>12.515469163704507</v>
      </c>
      <c r="U23" s="1">
        <f t="shared" ca="1" si="18"/>
        <v>13.850595488855806</v>
      </c>
      <c r="V23" s="1">
        <f t="shared" ca="1" si="18"/>
        <v>14.845322317712593</v>
      </c>
      <c r="W23" s="1">
        <f t="shared" ca="1" si="18"/>
        <v>15.51466807390684</v>
      </c>
      <c r="X23" s="1">
        <f t="shared" ca="1" si="18"/>
        <v>15.986550630623322</v>
      </c>
      <c r="Y23" s="1">
        <f t="shared" ca="1" si="18"/>
        <v>16.351867185241098</v>
      </c>
      <c r="Z23" s="1">
        <f t="shared" ca="1" si="18"/>
        <v>18.082524759103119</v>
      </c>
      <c r="AA23" s="1">
        <f t="shared" ca="1" si="18"/>
        <v>19.838825006400064</v>
      </c>
      <c r="AB23" s="1">
        <f t="shared" ca="1" si="18"/>
        <v>21.587989120606785</v>
      </c>
      <c r="AC23" s="1">
        <f t="shared" ca="1" si="18"/>
        <v>23.308585395819399</v>
      </c>
      <c r="AD23" s="1">
        <f t="shared" ca="1" si="18"/>
        <v>24.986993365504734</v>
      </c>
      <c r="AE23" s="1">
        <f t="shared" ca="1" si="18"/>
        <v>26.614267388589624</v>
      </c>
      <c r="AF23" s="1">
        <f t="shared" ca="1" si="18"/>
        <v>28.184349649723536</v>
      </c>
      <c r="AG23" s="1">
        <f t="shared" ca="1" si="18"/>
        <v>29.693130222818198</v>
      </c>
      <c r="AH23" s="1">
        <f t="shared" ca="1" si="18"/>
        <v>31.137932213028641</v>
      </c>
      <c r="AI23" s="1">
        <f t="shared" ca="1" si="18"/>
        <v>32.517198390032455</v>
      </c>
      <c r="AM23" s="43"/>
    </row>
    <row r="24" spans="1:39">
      <c r="A24" t="s">
        <v>125</v>
      </c>
      <c r="B24" s="31">
        <v>0.16405328226882354</v>
      </c>
      <c r="J24" s="8" t="s">
        <v>25</v>
      </c>
      <c r="K24" s="1">
        <f t="shared" ref="K24:AI24" ca="1" si="19">wa*flt3_*(1-EXP(-za))/za</f>
        <v>4.2112465248351346E-5</v>
      </c>
      <c r="L24" s="1">
        <f t="shared" ca="1" si="19"/>
        <v>9.9344055158952531E-4</v>
      </c>
      <c r="M24" s="1">
        <f t="shared" ca="1" si="19"/>
        <v>1.0649904319629484E-2</v>
      </c>
      <c r="N24" s="1">
        <f t="shared" ca="1" si="19"/>
        <v>8.081068375137565E-2</v>
      </c>
      <c r="O24" s="1">
        <f t="shared" ca="1" si="19"/>
        <v>0.49290765136689912</v>
      </c>
      <c r="P24" s="1">
        <f t="shared" ca="1" si="19"/>
        <v>0.27060808200279846</v>
      </c>
      <c r="Q24" s="1">
        <f t="shared" ca="1" si="19"/>
        <v>5.9845415402597135</v>
      </c>
      <c r="R24" s="1">
        <f t="shared" ca="1" si="19"/>
        <v>14.463159173997834</v>
      </c>
      <c r="S24" s="1">
        <f t="shared" ca="1" si="19"/>
        <v>19.90152658139068</v>
      </c>
      <c r="T24" s="1">
        <f t="shared" ca="1" si="19"/>
        <v>23.335971949404389</v>
      </c>
      <c r="U24" s="1">
        <f t="shared" ca="1" si="19"/>
        <v>25.577276963767115</v>
      </c>
      <c r="V24" s="1">
        <f t="shared" ca="1" si="19"/>
        <v>26.923771836151303</v>
      </c>
      <c r="W24" s="1">
        <f t="shared" ca="1" si="19"/>
        <v>27.575815817921583</v>
      </c>
      <c r="X24" s="1">
        <f t="shared" ca="1" si="19"/>
        <v>27.832294278352435</v>
      </c>
      <c r="Y24" s="1">
        <f t="shared" ca="1" si="19"/>
        <v>27.881231618859307</v>
      </c>
      <c r="Z24" s="1">
        <f t="shared" ca="1" si="19"/>
        <v>30.832140167904544</v>
      </c>
      <c r="AA24" s="1">
        <f t="shared" ca="1" si="19"/>
        <v>33.826771510760814</v>
      </c>
      <c r="AB24" s="1">
        <f t="shared" ca="1" si="19"/>
        <v>36.809235180207224</v>
      </c>
      <c r="AC24" s="1">
        <f t="shared" ca="1" si="19"/>
        <v>39.742988416354379</v>
      </c>
      <c r="AD24" s="1">
        <f t="shared" ca="1" si="19"/>
        <v>42.604807242523272</v>
      </c>
      <c r="AE24" s="1">
        <f t="shared" ca="1" si="19"/>
        <v>45.37943863054808</v>
      </c>
      <c r="AF24" s="1">
        <f t="shared" ca="1" si="19"/>
        <v>48.056553524365725</v>
      </c>
      <c r="AG24" s="1">
        <f t="shared" ca="1" si="19"/>
        <v>50.629144173735483</v>
      </c>
      <c r="AH24" s="1">
        <f t="shared" ca="1" si="19"/>
        <v>53.092646260445491</v>
      </c>
      <c r="AI24" s="1">
        <f t="shared" ca="1" si="19"/>
        <v>55.444404583177658</v>
      </c>
      <c r="AM24" s="44"/>
    </row>
    <row r="25" spans="1:39">
      <c r="A25" s="40"/>
      <c r="B25" s="40" t="s">
        <v>97</v>
      </c>
      <c r="C25" s="40">
        <v>1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1.6236998215941006E-5</v>
      </c>
      <c r="L26">
        <f t="shared" ref="L26:AI26" ca="1" si="20">qa1_/wa</f>
        <v>4.1621813993680362E-5</v>
      </c>
      <c r="M26">
        <f t="shared" ca="1" si="20"/>
        <v>1.0566474231069682E-4</v>
      </c>
      <c r="N26">
        <f t="shared" ca="1" si="20"/>
        <v>2.6899086604107011E-4</v>
      </c>
      <c r="O26">
        <f t="shared" ca="1" si="20"/>
        <v>6.8972875983134554E-4</v>
      </c>
      <c r="P26">
        <f t="shared" ca="1" si="20"/>
        <v>1.7772410547451025E-3</v>
      </c>
      <c r="Q26">
        <f t="shared" ca="1" si="20"/>
        <v>4.5265975087600769E-3</v>
      </c>
      <c r="R26">
        <f t="shared" ca="1" si="20"/>
        <v>1.1478603465437279E-2</v>
      </c>
      <c r="S26">
        <f t="shared" ca="1" si="20"/>
        <v>2.8836270672111107E-2</v>
      </c>
      <c r="T26">
        <f t="shared" ca="1" si="20"/>
        <v>7.0272724461764066E-2</v>
      </c>
      <c r="U26">
        <f t="shared" ca="1" si="20"/>
        <v>0.15948616126033122</v>
      </c>
      <c r="V26">
        <f t="shared" ca="1" si="20"/>
        <v>0.31523703663360586</v>
      </c>
      <c r="W26">
        <f t="shared" ca="1" si="20"/>
        <v>0.50857019412775706</v>
      </c>
      <c r="X26">
        <f t="shared" ca="1" si="20"/>
        <v>0.66824814551332179</v>
      </c>
      <c r="Y26">
        <f t="shared" ca="1" si="20"/>
        <v>0.76166950740318085</v>
      </c>
      <c r="Z26">
        <f t="shared" ca="1" si="20"/>
        <v>0.80508952456478533</v>
      </c>
      <c r="AA26">
        <f t="shared" ca="1" si="20"/>
        <v>0.82337639329531864</v>
      </c>
      <c r="AB26">
        <f t="shared" ca="1" si="20"/>
        <v>0.8307261119218422</v>
      </c>
      <c r="AC26">
        <f t="shared" ca="1" si="20"/>
        <v>0.83362201660499491</v>
      </c>
      <c r="AD26">
        <f t="shared" ca="1" si="20"/>
        <v>0.8347518314745862</v>
      </c>
      <c r="AE26">
        <f t="shared" ca="1" si="20"/>
        <v>0.83518863219993877</v>
      </c>
      <c r="AF26">
        <f t="shared" ca="1" si="20"/>
        <v>0.83535460748085966</v>
      </c>
      <c r="AG26">
        <f t="shared" ca="1" si="20"/>
        <v>0.83541491536937229</v>
      </c>
      <c r="AH26">
        <f t="shared" ca="1" si="20"/>
        <v>0.8354340210084823</v>
      </c>
      <c r="AI26">
        <f t="shared" ca="1" si="20"/>
        <v>0.83543706483693869</v>
      </c>
      <c r="AM26" s="44"/>
    </row>
    <row r="27" spans="1:39">
      <c r="A27" t="s">
        <v>14</v>
      </c>
      <c r="B27" s="28">
        <f ca="1">fbar*C27</f>
        <v>0.19601462434819811</v>
      </c>
      <c r="C27" s="36">
        <f ca="1">CHOOSE(C$25,E36,E39,1)</f>
        <v>2.2812436347600689</v>
      </c>
      <c r="E27" s="42">
        <f ca="1">f1_/(F4/(f1_*365*re*phib))</f>
        <v>234.91426520820147</v>
      </c>
      <c r="J27" s="8" t="s">
        <v>31</v>
      </c>
      <c r="K27">
        <f t="shared" ref="K27:AI27" ca="1" si="21">qa2_/wa</f>
        <v>6.4897267145166502E-3</v>
      </c>
      <c r="L27">
        <f t="shared" ca="1" si="21"/>
        <v>8.3681752062384207E-2</v>
      </c>
      <c r="M27">
        <f t="shared" ca="1" si="21"/>
        <v>0.56786492509913122</v>
      </c>
      <c r="N27">
        <f t="shared" ca="1" si="21"/>
        <v>0.90546339858126246</v>
      </c>
      <c r="O27">
        <f t="shared" ca="1" si="21"/>
        <v>0.87422990281014912</v>
      </c>
      <c r="P27">
        <f t="shared" ca="1" si="21"/>
        <v>0.6475220139608876</v>
      </c>
      <c r="Q27">
        <f t="shared" ca="1" si="21"/>
        <v>0.59175914388119821</v>
      </c>
      <c r="R27">
        <f t="shared" ca="1" si="21"/>
        <v>0.54085242724898652</v>
      </c>
      <c r="S27">
        <f t="shared" ca="1" si="21"/>
        <v>0.49555008549187279</v>
      </c>
      <c r="T27">
        <f t="shared" ca="1" si="21"/>
        <v>0.45340426937800715</v>
      </c>
      <c r="U27">
        <f t="shared" ca="1" si="21"/>
        <v>0.41280143367180899</v>
      </c>
      <c r="V27">
        <f t="shared" ca="1" si="21"/>
        <v>0.37303309229367643</v>
      </c>
      <c r="W27">
        <f t="shared" ca="1" si="21"/>
        <v>0.33546513826743057</v>
      </c>
      <c r="X27">
        <f t="shared" ca="1" si="21"/>
        <v>0.30260451282815115</v>
      </c>
      <c r="Y27">
        <f t="shared" ca="1" si="21"/>
        <v>0.27495751319750766</v>
      </c>
      <c r="Z27">
        <f t="shared" ca="1" si="21"/>
        <v>0.27352923418374891</v>
      </c>
      <c r="AA27">
        <f t="shared" ca="1" si="21"/>
        <v>0.27292616623008581</v>
      </c>
      <c r="AB27">
        <f t="shared" ca="1" si="21"/>
        <v>0.27268352799117834</v>
      </c>
      <c r="AC27">
        <f t="shared" ca="1" si="21"/>
        <v>0.27258788397806022</v>
      </c>
      <c r="AD27">
        <f t="shared" ca="1" si="21"/>
        <v>0.27255056295147123</v>
      </c>
      <c r="AE27">
        <f t="shared" ca="1" si="21"/>
        <v>0.27253613322907694</v>
      </c>
      <c r="AF27">
        <f t="shared" ca="1" si="21"/>
        <v>0.27253065009406541</v>
      </c>
      <c r="AG27">
        <f t="shared" ca="1" si="21"/>
        <v>0.27252865775273866</v>
      </c>
      <c r="AH27">
        <f t="shared" ca="1" si="21"/>
        <v>0.27252802657361408</v>
      </c>
      <c r="AI27">
        <f t="shared" ca="1" si="21"/>
        <v>0.27252792601677117</v>
      </c>
    </row>
    <row r="28" spans="1:39">
      <c r="A28" t="s">
        <v>15</v>
      </c>
      <c r="B28" s="28">
        <f ca="1">fbar*C28</f>
        <v>4.0454395904891097E-2</v>
      </c>
      <c r="C28" s="36">
        <f ca="1">CHOOSE(C$25,E37,E40,1)</f>
        <v>0.47081350926224913</v>
      </c>
      <c r="E28" s="42">
        <f ca="1">f2_/(F5/(f2_*365*re*phib))</f>
        <v>32.127518390807978</v>
      </c>
      <c r="J28" s="8" t="s">
        <v>32</v>
      </c>
      <c r="K28">
        <f t="shared" ref="K28:AI28" ca="1" si="22">qa3_/wa</f>
        <v>5.965840368684517E-4</v>
      </c>
      <c r="L28">
        <f t="shared" ca="1" si="22"/>
        <v>2.1353940267263599E-3</v>
      </c>
      <c r="M28">
        <f t="shared" ca="1" si="22"/>
        <v>7.5516478732734231E-3</v>
      </c>
      <c r="N28">
        <f t="shared" ca="1" si="22"/>
        <v>2.6539639583428323E-2</v>
      </c>
      <c r="O28">
        <f t="shared" ca="1" si="22"/>
        <v>9.0740412840972839E-2</v>
      </c>
      <c r="P28">
        <f t="shared" ca="1" si="22"/>
        <v>3.1554401320646221E-2</v>
      </c>
      <c r="Q28">
        <f t="shared" ca="1" si="22"/>
        <v>0.48112864149661883</v>
      </c>
      <c r="R28">
        <f t="shared" ca="1" si="22"/>
        <v>0.85308434926508347</v>
      </c>
      <c r="S28">
        <f t="shared" ca="1" si="22"/>
        <v>0.90300164051006604</v>
      </c>
      <c r="T28">
        <f t="shared" ca="1" si="22"/>
        <v>0.84540412936573928</v>
      </c>
      <c r="U28">
        <f t="shared" ca="1" si="22"/>
        <v>0.76230199694729661</v>
      </c>
      <c r="V28">
        <f t="shared" ca="1" si="22"/>
        <v>0.67654023599512103</v>
      </c>
      <c r="W28">
        <f t="shared" ca="1" si="22"/>
        <v>0.5962567050824944</v>
      </c>
      <c r="X28">
        <f t="shared" ca="1" si="22"/>
        <v>0.52682896051743178</v>
      </c>
      <c r="Y28">
        <f t="shared" ca="1" si="22"/>
        <v>0.46882438708434526</v>
      </c>
      <c r="Z28">
        <f t="shared" ca="1" si="22"/>
        <v>0.46638905798413677</v>
      </c>
      <c r="AA28">
        <f t="shared" ca="1" si="22"/>
        <v>0.46536077924951191</v>
      </c>
      <c r="AB28">
        <f t="shared" ca="1" si="22"/>
        <v>0.46494706179070838</v>
      </c>
      <c r="AC28">
        <f t="shared" ca="1" si="22"/>
        <v>0.46478398115578795</v>
      </c>
      <c r="AD28">
        <f t="shared" ca="1" si="22"/>
        <v>0.4647203458427811</v>
      </c>
      <c r="AE28">
        <f t="shared" ca="1" si="22"/>
        <v>0.46469574202061731</v>
      </c>
      <c r="AF28">
        <f t="shared" ca="1" si="22"/>
        <v>0.46468639284015234</v>
      </c>
      <c r="AG28">
        <f t="shared" ca="1" si="22"/>
        <v>0.46468299574003119</v>
      </c>
      <c r="AH28">
        <f t="shared" ca="1" si="22"/>
        <v>0.46468191952951865</v>
      </c>
      <c r="AI28">
        <f t="shared" ca="1" si="22"/>
        <v>0.46468174807211882</v>
      </c>
    </row>
    <row r="29" spans="1:39">
      <c r="A29" t="s">
        <v>19</v>
      </c>
      <c r="B29" s="28">
        <f ca="1">fbar*C29</f>
        <v>2.130435567413488E-2</v>
      </c>
      <c r="C29" s="36">
        <f ca="1">CHOOSE(C$25,E38,E41,1)</f>
        <v>0.24794285597768226</v>
      </c>
      <c r="E29" s="42">
        <f ca="1">f3_/(F6/(f3_*365*re*phib))</f>
        <v>13.655943054894962</v>
      </c>
    </row>
    <row r="30" spans="1:39">
      <c r="A30" t="s">
        <v>95</v>
      </c>
      <c r="B30" s="28">
        <v>8.5924458642408025E-2</v>
      </c>
      <c r="C30" s="36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0.25777337592722405</v>
      </c>
      <c r="G31">
        <f ca="1">SUMPRODUCT(dlz1_,wa,ma)</f>
        <v>-64.777327866857732</v>
      </c>
      <c r="H31">
        <f ca="1">Ro/(reck-1)*phie/phif^2*dphif</f>
        <v>-8281.1854022599728</v>
      </c>
      <c r="J31" s="8" t="s">
        <v>52</v>
      </c>
      <c r="K31">
        <v>0</v>
      </c>
      <c r="L31">
        <f t="shared" ref="L31:AH31" ca="1" si="23">K31*sa-K$7*K18*K$10</f>
        <v>-1.5047343505994794E-5</v>
      </c>
      <c r="M31">
        <f t="shared" ca="1" si="23"/>
        <v>-4.5760064082356414E-5</v>
      </c>
      <c r="N31">
        <f t="shared" ca="1" si="23"/>
        <v>-1.0914016376407701E-4</v>
      </c>
      <c r="O31">
        <f t="shared" ca="1" si="23"/>
        <v>-2.4132946687699044E-4</v>
      </c>
      <c r="P31">
        <f t="shared" ca="1" si="23"/>
        <v>-5.2186049730462464E-4</v>
      </c>
      <c r="Q31">
        <f t="shared" ca="1" si="23"/>
        <v>-1.1178213896937037E-3</v>
      </c>
      <c r="R31">
        <f t="shared" ca="1" si="23"/>
        <v>-2.3707133550634803E-3</v>
      </c>
      <c r="S31">
        <f t="shared" ca="1" si="23"/>
        <v>-4.9793842496824031E-3</v>
      </c>
      <c r="T31">
        <f t="shared" ca="1" si="23"/>
        <v>-1.0313945266770819E-2</v>
      </c>
      <c r="U31">
        <f t="shared" ca="1" si="23"/>
        <v>-2.0720232514524744E-2</v>
      </c>
      <c r="V31">
        <f t="shared" ca="1" si="23"/>
        <v>-3.8910946312053787E-2</v>
      </c>
      <c r="W31">
        <f t="shared" ca="1" si="23"/>
        <v>-6.4517817185256857E-2</v>
      </c>
      <c r="X31">
        <f t="shared" ca="1" si="23"/>
        <v>-8.9876667292879381E-2</v>
      </c>
      <c r="Y31">
        <f t="shared" ca="1" si="23"/>
        <v>-0.10499370934119859</v>
      </c>
      <c r="Z31">
        <f t="shared" ca="1" si="23"/>
        <v>-0.10684079924731779</v>
      </c>
      <c r="AA31">
        <f t="shared" ca="1" si="23"/>
        <v>-9.894452437168938E-2</v>
      </c>
      <c r="AB31">
        <f t="shared" ca="1" si="23"/>
        <v>-8.6087006163932306E-2</v>
      </c>
      <c r="AC31">
        <f t="shared" ca="1" si="23"/>
        <v>-7.1798399702850235E-2</v>
      </c>
      <c r="AD31">
        <f t="shared" ca="1" si="23"/>
        <v>-5.8122141886433103E-2</v>
      </c>
      <c r="AE31">
        <f t="shared" ca="1" si="23"/>
        <v>-4.6031767819528516E-2</v>
      </c>
      <c r="AF31">
        <f t="shared" ca="1" si="23"/>
        <v>-3.5853428448510104E-2</v>
      </c>
      <c r="AG31">
        <f t="shared" ca="1" si="23"/>
        <v>-2.7562374234756513E-2</v>
      </c>
      <c r="AH31">
        <f t="shared" ca="1" si="23"/>
        <v>-2.0966352877937511E-2</v>
      </c>
      <c r="AI31">
        <f ca="1">(AH31*sa-AH$7*AH18*AH$10)/oa-AH$7*AH$10*flt1_*sa/oa^2</f>
        <v>-6.0656519304277505E-2</v>
      </c>
    </row>
    <row r="32" spans="1:39">
      <c r="A32" s="12" t="s">
        <v>22</v>
      </c>
      <c r="B32" s="12"/>
      <c r="C32" s="12"/>
      <c r="G32">
        <f ca="1">SUMPRODUCT(dlz2_,wa,ma)</f>
        <v>-170.2024815582123</v>
      </c>
      <c r="H32">
        <f ca="1">Ro/(reck-1)*phie/phif^2*dphif</f>
        <v>-21758.821367335633</v>
      </c>
      <c r="J32" s="8" t="s">
        <v>53</v>
      </c>
      <c r="K32">
        <v>0</v>
      </c>
      <c r="L32">
        <f t="shared" ref="L32:AH32" ca="1" si="24">K32*sa-K$7*K19*K$10</f>
        <v>-6.0142364884594283E-3</v>
      </c>
      <c r="M32">
        <f t="shared" ca="1" si="24"/>
        <v>-7.1659273990316408E-2</v>
      </c>
      <c r="N32">
        <f t="shared" ca="1" si="24"/>
        <v>-0.44256453247849475</v>
      </c>
      <c r="O32">
        <f t="shared" ca="1" si="24"/>
        <v>-0.87445384561887285</v>
      </c>
      <c r="P32">
        <f t="shared" ca="1" si="24"/>
        <v>-1.1364920971096497</v>
      </c>
      <c r="Q32">
        <f t="shared" ca="1" si="24"/>
        <v>-1.1910523516548432</v>
      </c>
      <c r="R32">
        <f t="shared" ca="1" si="24"/>
        <v>-1.1683448114657431</v>
      </c>
      <c r="S32">
        <f t="shared" ca="1" si="24"/>
        <v>-1.1000961290006916</v>
      </c>
      <c r="T32">
        <f t="shared" ca="1" si="24"/>
        <v>-1.0033508989213982</v>
      </c>
      <c r="U32">
        <f t="shared" ca="1" si="24"/>
        <v>-0.88430709372752425</v>
      </c>
      <c r="V32">
        <f t="shared" ca="1" si="24"/>
        <v>-0.74548344075051554</v>
      </c>
      <c r="W32">
        <f t="shared" ca="1" si="24"/>
        <v>-0.59684757331110538</v>
      </c>
      <c r="X32">
        <f t="shared" ca="1" si="24"/>
        <v>-0.45719544289409469</v>
      </c>
      <c r="Y32">
        <f t="shared" ca="1" si="24"/>
        <v>-0.3404071655972612</v>
      </c>
      <c r="Z32">
        <f t="shared" ca="1" si="24"/>
        <v>-0.24893484605825889</v>
      </c>
      <c r="AA32">
        <f t="shared" ca="1" si="24"/>
        <v>-0.18079266431544189</v>
      </c>
      <c r="AB32">
        <f t="shared" ca="1" si="24"/>
        <v>-0.13077678229594961</v>
      </c>
      <c r="AC32">
        <f t="shared" ca="1" si="24"/>
        <v>-9.4339073189670788E-2</v>
      </c>
      <c r="AD32">
        <f t="shared" ca="1" si="24"/>
        <v>-6.7908748730215976E-2</v>
      </c>
      <c r="AE32">
        <f t="shared" ca="1" si="24"/>
        <v>-4.8794648719198461E-2</v>
      </c>
      <c r="AF32">
        <f t="shared" ca="1" si="24"/>
        <v>-3.5003994714819242E-2</v>
      </c>
      <c r="AG32">
        <f t="shared" ca="1" si="24"/>
        <v>-2.5074048272413132E-2</v>
      </c>
      <c r="AH32">
        <f t="shared" ca="1" si="24"/>
        <v>-1.7936709998145409E-2</v>
      </c>
      <c r="AI32">
        <f ca="1">(AH32*sa-AH$7*AH19*AH$10)/oa-AH$7*AH$10*flt2_*sa/oa^2</f>
        <v>-4.4487370530815223E-2</v>
      </c>
    </row>
    <row r="33" spans="1:35">
      <c r="A33" s="59" t="s">
        <v>128</v>
      </c>
      <c r="B33" s="60">
        <f ca="1">SUMPRODUCT(lz,wa)</f>
        <v>61.750297221719656</v>
      </c>
      <c r="C33" s="59"/>
      <c r="D33" s="61"/>
      <c r="E33" s="61"/>
      <c r="G33">
        <f ca="1">SUMPRODUCT(dlz3_,wa,ma)</f>
        <v>-148.32646356418797</v>
      </c>
      <c r="H33">
        <f ca="1">Ro/(reck-1)*phie/phif^2*dphif</f>
        <v>-18962.17373092737</v>
      </c>
      <c r="J33" s="8" t="s">
        <v>54</v>
      </c>
      <c r="K33">
        <v>0</v>
      </c>
      <c r="L33">
        <f t="shared" ref="L33:AH33" ca="1" si="25">K33*sa-K$7*K20*K$10</f>
        <v>-5.5287343224188427E-4</v>
      </c>
      <c r="M33">
        <f t="shared" ca="1" si="25"/>
        <v>-2.1638035261241644E-3</v>
      </c>
      <c r="N33">
        <f t="shared" ca="1" si="25"/>
        <v>-6.8857741313897783E-3</v>
      </c>
      <c r="O33">
        <f t="shared" ca="1" si="25"/>
        <v>-2.0603489832652817E-2</v>
      </c>
      <c r="P33">
        <f t="shared" ca="1" si="25"/>
        <v>-5.9343589638633024E-2</v>
      </c>
      <c r="Q33">
        <f t="shared" ca="1" si="25"/>
        <v>-6.1321882025679078E-2</v>
      </c>
      <c r="R33">
        <f t="shared" ca="1" si="25"/>
        <v>-0.20475172785909865</v>
      </c>
      <c r="S33">
        <f t="shared" ca="1" si="25"/>
        <v>-0.39345964254595894</v>
      </c>
      <c r="T33">
        <f t="shared" ca="1" si="25"/>
        <v>-0.51639556055581637</v>
      </c>
      <c r="U33">
        <f t="shared" ca="1" si="25"/>
        <v>-0.56361565833590699</v>
      </c>
      <c r="V33">
        <f t="shared" ca="1" si="25"/>
        <v>-0.54658891965197154</v>
      </c>
      <c r="W33">
        <f t="shared" ca="1" si="25"/>
        <v>-0.48307452717889776</v>
      </c>
      <c r="X33">
        <f t="shared" ca="1" si="25"/>
        <v>-0.39785848393123863</v>
      </c>
      <c r="Y33">
        <f t="shared" ca="1" si="25"/>
        <v>-0.31270827100885629</v>
      </c>
      <c r="Z33">
        <f t="shared" ca="1" si="25"/>
        <v>-0.23828256851591012</v>
      </c>
      <c r="AA33">
        <f t="shared" ca="1" si="25"/>
        <v>-0.1794071016711839</v>
      </c>
      <c r="AB33">
        <f t="shared" ca="1" si="25"/>
        <v>-0.1339637940503815</v>
      </c>
      <c r="AC33">
        <f t="shared" ca="1" si="25"/>
        <v>-9.9402146201647279E-2</v>
      </c>
      <c r="AD33">
        <f t="shared" ca="1" si="25"/>
        <v>-7.3379297166549284E-2</v>
      </c>
      <c r="AE33">
        <f t="shared" ca="1" si="25"/>
        <v>-5.3933540755107728E-2</v>
      </c>
      <c r="AF33">
        <f t="shared" ca="1" si="25"/>
        <v>-3.9491111419287878E-2</v>
      </c>
      <c r="AG33">
        <f t="shared" ca="1" si="25"/>
        <v>-2.8819625728625203E-2</v>
      </c>
      <c r="AH33">
        <f t="shared" ca="1" si="25"/>
        <v>-2.0969285392535949E-2</v>
      </c>
      <c r="AI33">
        <f ca="1">(AH33*sa-AH$7*AH20*AH$10)/oa-AH$7*AH$10*flt3_*sa/oa^2</f>
        <v>-5.4454900687267292E-2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26.666678067156074</v>
      </c>
      <c r="F35" s="37"/>
      <c r="G35" s="1">
        <f ca="1">SUM(dqa11_)</f>
        <v>858.35233212900675</v>
      </c>
      <c r="H35" s="1">
        <f ca="1">SUM(dqa12_)</f>
        <v>861.92715246534101</v>
      </c>
      <c r="I35" s="11">
        <f ca="1">SUM(dqa13_)</f>
        <v>859.59758553002314</v>
      </c>
      <c r="J35" s="8" t="s">
        <v>62</v>
      </c>
      <c r="K35">
        <f ca="1">flt1_*qa1_+lz*wa*flt1_^2/za*(sa-oa/za)</f>
        <v>1.0272829383567991E-11</v>
      </c>
      <c r="L35">
        <f t="shared" ref="L35:AI35" ca="1" si="26">flt1_*qa1_+lz*wa*flt1_^2/za*(sa-oa/za)</f>
        <v>5.049832919989953E-10</v>
      </c>
      <c r="M35">
        <f t="shared" ca="1" si="26"/>
        <v>1.1017695306133159E-8</v>
      </c>
      <c r="N35">
        <f t="shared" ca="1" si="26"/>
        <v>1.6946609810917511E-7</v>
      </c>
      <c r="O35">
        <f t="shared" ca="1" si="26"/>
        <v>2.1358615043332358E-6</v>
      </c>
      <c r="P35">
        <f t="shared" ca="1" si="26"/>
        <v>2.3528575489272673E-5</v>
      </c>
      <c r="Q35">
        <f t="shared" ca="1" si="26"/>
        <v>2.3182119307670727E-4</v>
      </c>
      <c r="R35">
        <f t="shared" ca="1" si="26"/>
        <v>2.1125995236542993E-3</v>
      </c>
      <c r="S35">
        <f t="shared" ca="1" si="26"/>
        <v>1.7868223644306847E-2</v>
      </c>
      <c r="T35">
        <f t="shared" ca="1" si="26"/>
        <v>0.13646562834380899</v>
      </c>
      <c r="U35">
        <f t="shared" ca="1" si="26"/>
        <v>0.87806513139084719</v>
      </c>
      <c r="V35">
        <f t="shared" ca="1" si="26"/>
        <v>4.2015615314335131</v>
      </c>
      <c r="W35">
        <f t="shared" ca="1" si="26"/>
        <v>13.161444091516458</v>
      </c>
      <c r="X35">
        <f t="shared" ca="1" si="26"/>
        <v>26.745831707258727</v>
      </c>
      <c r="Y35">
        <f t="shared" ca="1" si="26"/>
        <v>39.906607422321464</v>
      </c>
      <c r="Z35">
        <f t="shared" ca="1" si="26"/>
        <v>50.203223474932379</v>
      </c>
      <c r="AA35">
        <f t="shared" ca="1" si="26"/>
        <v>58.180851665109728</v>
      </c>
      <c r="AB35">
        <f t="shared" ca="1" si="26"/>
        <v>64.806680487785911</v>
      </c>
      <c r="AC35">
        <f t="shared" ca="1" si="26"/>
        <v>70.695954754503404</v>
      </c>
      <c r="AD35">
        <f t="shared" ca="1" si="26"/>
        <v>76.151319186066615</v>
      </c>
      <c r="AE35">
        <f t="shared" ca="1" si="26"/>
        <v>81.306027937279481</v>
      </c>
      <c r="AF35">
        <f t="shared" ca="1" si="26"/>
        <v>86.214778595986274</v>
      </c>
      <c r="AG35">
        <f t="shared" ca="1" si="26"/>
        <v>90.898687142804761</v>
      </c>
      <c r="AH35">
        <f t="shared" ca="1" si="26"/>
        <v>95.365615156082782</v>
      </c>
      <c r="AI35">
        <f t="shared" ca="1" si="26"/>
        <v>99.478979726393575</v>
      </c>
    </row>
    <row r="36" spans="1:35">
      <c r="A36" t="s">
        <v>33</v>
      </c>
      <c r="B36" s="1">
        <f ca="1">SUMPRODUCT(lz,ta1_)</f>
        <v>0.33399308923857385</v>
      </c>
      <c r="C36" s="29">
        <f ca="1">B11/(phi_t1/SUM(B$36:B$38))</f>
        <v>4.1673982497210664</v>
      </c>
      <c r="E36" s="38">
        <f ca="1">C36/AVERAGE(C$36:C$38)</f>
        <v>2.2812436347600689</v>
      </c>
      <c r="G36" s="1">
        <f ca="1">SUM(dqa21_)</f>
        <v>861.92715246534101</v>
      </c>
      <c r="H36" s="1">
        <f ca="1">SUM(dqa22_)</f>
        <v>139.67144068275411</v>
      </c>
      <c r="I36" s="11">
        <f ca="1">SUM(dqa23_)</f>
        <v>857.2468093943927</v>
      </c>
      <c r="J36" s="8" t="s">
        <v>63</v>
      </c>
      <c r="K36">
        <f t="shared" ref="K36:AI36" ca="1" si="27">flt2_*qa2_+lz*wa*flt2_^2/za*(sa-oa/za)</f>
        <v>1.6410862508386771E-6</v>
      </c>
      <c r="L36">
        <f t="shared" ca="1" si="27"/>
        <v>2.041251562426378E-3</v>
      </c>
      <c r="M36">
        <f t="shared" ca="1" si="27"/>
        <v>0.31821500242138517</v>
      </c>
      <c r="N36">
        <f t="shared" ca="1" si="27"/>
        <v>1.9202136956555096</v>
      </c>
      <c r="O36">
        <f t="shared" ca="1" si="27"/>
        <v>3.4313714416893957</v>
      </c>
      <c r="P36">
        <f t="shared" ca="1" si="27"/>
        <v>3.1232880225917068</v>
      </c>
      <c r="Q36">
        <f t="shared" ca="1" si="27"/>
        <v>3.9618618829165078</v>
      </c>
      <c r="R36">
        <f t="shared" ca="1" si="27"/>
        <v>4.6902569675644266</v>
      </c>
      <c r="S36">
        <f t="shared" ca="1" si="27"/>
        <v>5.2768931894102655</v>
      </c>
      <c r="T36">
        <f t="shared" ca="1" si="27"/>
        <v>5.6809492152537944</v>
      </c>
      <c r="U36">
        <f t="shared" ca="1" si="27"/>
        <v>5.8825159758478325</v>
      </c>
      <c r="V36">
        <f t="shared" ca="1" si="27"/>
        <v>5.8834352246383332</v>
      </c>
      <c r="W36">
        <f t="shared" ca="1" si="27"/>
        <v>5.726595729867813</v>
      </c>
      <c r="X36">
        <f t="shared" ca="1" si="27"/>
        <v>5.4844285651667768</v>
      </c>
      <c r="Y36">
        <f t="shared" ca="1" si="27"/>
        <v>5.2004730765338545</v>
      </c>
      <c r="Z36">
        <f t="shared" ca="1" si="27"/>
        <v>5.7949641137148973</v>
      </c>
      <c r="AA36">
        <f t="shared" ca="1" si="27"/>
        <v>6.392542161425447</v>
      </c>
      <c r="AB36">
        <f t="shared" ca="1" si="27"/>
        <v>6.9826755312368922</v>
      </c>
      <c r="AC36">
        <f t="shared" ca="1" si="27"/>
        <v>7.5590863839448756</v>
      </c>
      <c r="AD36">
        <f t="shared" ca="1" si="27"/>
        <v>8.1181456105022782</v>
      </c>
      <c r="AE36">
        <f t="shared" ca="1" si="27"/>
        <v>8.6576849018462863</v>
      </c>
      <c r="AF36">
        <f t="shared" ca="1" si="27"/>
        <v>9.1763649396783027</v>
      </c>
      <c r="AG36">
        <f t="shared" ca="1" si="27"/>
        <v>9.6733636743540234</v>
      </c>
      <c r="AH36">
        <f t="shared" ca="1" si="27"/>
        <v>10.148219300346874</v>
      </c>
      <c r="AI36">
        <f t="shared" ca="1" si="27"/>
        <v>10.585853183497957</v>
      </c>
    </row>
    <row r="37" spans="1:35">
      <c r="A37" t="s">
        <v>34</v>
      </c>
      <c r="B37" s="1">
        <f ca="1">SUMPRODUCT(lz,ta2_)</f>
        <v>2.5722566015411106</v>
      </c>
      <c r="C37" s="29">
        <f ca="1">B12/(phi_t2/SUM(B$36:B$38))</f>
        <v>0.86008673714102968</v>
      </c>
      <c r="E37" s="38">
        <f ca="1">C37/AVERAGE(C$36:C$38)</f>
        <v>0.47081350926224913</v>
      </c>
      <c r="G37" s="1">
        <f ca="1">SUM(dqa31_)</f>
        <v>859.59758553002314</v>
      </c>
      <c r="H37" s="1">
        <f ca="1">SUM(dqa32_)</f>
        <v>857.2468093943927</v>
      </c>
      <c r="I37" s="1">
        <f ca="1">SUM(dqa33_)</f>
        <v>382.4161907048192</v>
      </c>
      <c r="J37" s="8" t="s">
        <v>64</v>
      </c>
      <c r="K37">
        <f t="shared" ref="K37:AI37" ca="1" si="28">flt3_*qa3_+lz*wa*flt3_^2/za*(sa-oa/za)</f>
        <v>1.3868255885793574E-8</v>
      </c>
      <c r="L37">
        <f t="shared" ca="1" si="28"/>
        <v>1.3292021901425603E-6</v>
      </c>
      <c r="M37">
        <f t="shared" ca="1" si="28"/>
        <v>5.6274808177663176E-5</v>
      </c>
      <c r="N37">
        <f t="shared" ca="1" si="28"/>
        <v>1.649672767397511E-3</v>
      </c>
      <c r="O37">
        <f t="shared" ca="1" si="28"/>
        <v>3.6967315960297883E-2</v>
      </c>
      <c r="P37">
        <f t="shared" ca="1" si="28"/>
        <v>7.4169072756682169E-3</v>
      </c>
      <c r="Q37">
        <f t="shared" ca="1" si="28"/>
        <v>2.618977689310594</v>
      </c>
      <c r="R37">
        <f t="shared" ca="1" si="28"/>
        <v>11.668714660189679</v>
      </c>
      <c r="S37">
        <f t="shared" ca="1" si="28"/>
        <v>17.521862641182597</v>
      </c>
      <c r="T37">
        <f t="shared" ca="1" si="28"/>
        <v>19.750515072284362</v>
      </c>
      <c r="U37">
        <f t="shared" ca="1" si="28"/>
        <v>20.060180495707634</v>
      </c>
      <c r="V37">
        <f t="shared" ca="1" si="28"/>
        <v>19.351895789889618</v>
      </c>
      <c r="W37">
        <f t="shared" ca="1" si="28"/>
        <v>18.091238012825926</v>
      </c>
      <c r="X37">
        <f t="shared" ca="1" si="28"/>
        <v>16.62340035974314</v>
      </c>
      <c r="Y37">
        <f t="shared" ca="1" si="28"/>
        <v>15.119313033904168</v>
      </c>
      <c r="Z37">
        <f t="shared" ca="1" si="28"/>
        <v>16.847674272336217</v>
      </c>
      <c r="AA37">
        <f t="shared" ca="1" si="28"/>
        <v>18.585010363218732</v>
      </c>
      <c r="AB37">
        <f t="shared" ca="1" si="28"/>
        <v>20.300702574027913</v>
      </c>
      <c r="AC37">
        <f t="shared" ca="1" si="28"/>
        <v>21.976499369814846</v>
      </c>
      <c r="AD37">
        <f t="shared" ca="1" si="28"/>
        <v>23.601849857437681</v>
      </c>
      <c r="AE37">
        <f t="shared" ca="1" si="28"/>
        <v>25.170450121273269</v>
      </c>
      <c r="AF37">
        <f t="shared" ca="1" si="28"/>
        <v>26.678406366985879</v>
      </c>
      <c r="AG37">
        <f t="shared" ca="1" si="28"/>
        <v>28.123328653176205</v>
      </c>
      <c r="AH37">
        <f t="shared" ca="1" si="28"/>
        <v>29.503874374620764</v>
      </c>
      <c r="AI37">
        <f t="shared" ca="1" si="28"/>
        <v>30.776205483007981</v>
      </c>
    </row>
    <row r="38" spans="1:35">
      <c r="A38" t="s">
        <v>35</v>
      </c>
      <c r="B38" s="1">
        <f ca="1">SUMPRODUCT(lz,ta3_)</f>
        <v>1.2759148524745367</v>
      </c>
      <c r="C38" s="29">
        <f ca="1">B13/(phi_t3/SUM(B$36:B$38))</f>
        <v>0.45294444148264396</v>
      </c>
      <c r="E38" s="38">
        <f ca="1">C38/AVERAGE(C$36:C$38)</f>
        <v>0.24794285597768234</v>
      </c>
      <c r="G38" t="s">
        <v>69</v>
      </c>
      <c r="J38" s="8" t="s">
        <v>60</v>
      </c>
      <c r="K38">
        <f t="shared" ref="K38:AI38" ca="1" si="29">flt1_*qa1_+lz*wa*flt2_*flt1_/za*(sa-oa/za)</f>
        <v>-3.8852728258915413E-9</v>
      </c>
      <c r="L38">
        <f t="shared" ca="1" si="29"/>
        <v>-7.3194674290268479E-7</v>
      </c>
      <c r="M38">
        <f t="shared" ca="1" si="29"/>
        <v>-3.3023622836065748E-5</v>
      </c>
      <c r="N38">
        <f t="shared" ca="1" si="29"/>
        <v>-2.4397635622252893E-4</v>
      </c>
      <c r="O38">
        <f t="shared" ca="1" si="29"/>
        <v>-8.8836925875517415E-4</v>
      </c>
      <c r="P38">
        <f t="shared" ca="1" si="29"/>
        <v>-2.1806440655909583E-3</v>
      </c>
      <c r="Q38">
        <f t="shared" ca="1" si="29"/>
        <v>-5.9717404009153596E-3</v>
      </c>
      <c r="R38">
        <f t="shared" ca="1" si="29"/>
        <v>-1.3936594347581061E-2</v>
      </c>
      <c r="S38">
        <f t="shared" ca="1" si="29"/>
        <v>-2.0127812586711289E-2</v>
      </c>
      <c r="T38">
        <f t="shared" ca="1" si="29"/>
        <v>5.8344394451506132E-2</v>
      </c>
      <c r="U38">
        <f t="shared" ca="1" si="29"/>
        <v>0.76145756687759913</v>
      </c>
      <c r="V38">
        <f t="shared" ca="1" si="29"/>
        <v>4.1510951949798827</v>
      </c>
      <c r="W38">
        <f t="shared" ca="1" si="29"/>
        <v>13.384236584200929</v>
      </c>
      <c r="X38">
        <f t="shared" ca="1" si="29"/>
        <v>27.277159450181035</v>
      </c>
      <c r="Y38">
        <f t="shared" ca="1" si="29"/>
        <v>40.562054857298627</v>
      </c>
      <c r="Z38">
        <f t="shared" ca="1" si="29"/>
        <v>50.796581925934312</v>
      </c>
      <c r="AA38">
        <f t="shared" ca="1" si="29"/>
        <v>58.662016592529064</v>
      </c>
      <c r="AB38">
        <f t="shared" ca="1" si="29"/>
        <v>65.177897568212046</v>
      </c>
      <c r="AC38">
        <f t="shared" ca="1" si="29"/>
        <v>70.975460639846986</v>
      </c>
      <c r="AD38">
        <f t="shared" ca="1" si="29"/>
        <v>76.358920567141212</v>
      </c>
      <c r="AE38">
        <f t="shared" ca="1" si="29"/>
        <v>81.458844651882274</v>
      </c>
      <c r="AF38">
        <f t="shared" ca="1" si="29"/>
        <v>86.326510011593996</v>
      </c>
      <c r="AG38">
        <f t="shared" ca="1" si="29"/>
        <v>90.979926663076981</v>
      </c>
      <c r="AH38">
        <f t="shared" ca="1" si="29"/>
        <v>95.424402070675271</v>
      </c>
      <c r="AI38">
        <f t="shared" ca="1" si="29"/>
        <v>99.615626622929923</v>
      </c>
    </row>
    <row r="39" spans="1:35">
      <c r="A39" s="1" t="s">
        <v>36</v>
      </c>
      <c r="B39" s="1">
        <f ca="1">SUMPRODUCT(lz,qa1_)</f>
        <v>18.454299086700928</v>
      </c>
      <c r="C39" s="23">
        <f ca="1">B4/(phi_q1/SUM(B$39:B$41))</f>
        <v>2.6433373136658678</v>
      </c>
      <c r="D39" s="21"/>
      <c r="E39" s="39">
        <f ca="1">C39/AVERAGE(C$39:C$41)</f>
        <v>2.1446835972162703</v>
      </c>
      <c r="G39" s="1">
        <f ca="1">re*phi_q1+f1_*phi_q1*$H31+f1_*re*G35</f>
        <v>1389623.7907908305</v>
      </c>
      <c r="H39" s="1">
        <f ca="1">re*phi_q1+f1_*phi_q1*$H32+f1_*re*H35</f>
        <v>1346198.7827876366</v>
      </c>
      <c r="I39" s="1">
        <f ca="1">re*phi_q1+f1_*phi_q1*$H33+f1_*re*I35</f>
        <v>1352843.209297264</v>
      </c>
      <c r="J39" s="8" t="s">
        <v>66</v>
      </c>
      <c r="K39">
        <f t="shared" ref="K39:AI39" ca="1" si="30">flt1_*qa1_+lz*wa*flt3_*flt1_/za*(sa-oa/za)</f>
        <v>-3.3896204763829365E-10</v>
      </c>
      <c r="L39">
        <f t="shared" ca="1" si="30"/>
        <v>-1.7830558115219507E-8</v>
      </c>
      <c r="M39">
        <f t="shared" ca="1" si="30"/>
        <v>-4.2222116719947184E-7</v>
      </c>
      <c r="N39">
        <f t="shared" ca="1" si="30"/>
        <v>-6.916160016387281E-6</v>
      </c>
      <c r="O39">
        <f t="shared" ca="1" si="30"/>
        <v>-8.9663688921963109E-5</v>
      </c>
      <c r="P39">
        <f t="shared" ca="1" si="30"/>
        <v>-7.8112203872793227E-5</v>
      </c>
      <c r="Q39">
        <f t="shared" ca="1" si="30"/>
        <v>-4.8030328080603943E-3</v>
      </c>
      <c r="R39">
        <f t="shared" ca="1" si="30"/>
        <v>-2.3402628412902946E-2</v>
      </c>
      <c r="S39">
        <f t="shared" ca="1" si="30"/>
        <v>-5.3299198466588676E-2</v>
      </c>
      <c r="T39">
        <f t="shared" ca="1" si="30"/>
        <v>-2.1585105361792284E-2</v>
      </c>
      <c r="U39">
        <f t="shared" ca="1" si="30"/>
        <v>0.60057342794829405</v>
      </c>
      <c r="V39">
        <f t="shared" ca="1" si="30"/>
        <v>3.8860789502692716</v>
      </c>
      <c r="W39">
        <f t="shared" ca="1" si="30"/>
        <v>13.048588367844395</v>
      </c>
      <c r="X39">
        <f t="shared" ca="1" si="30"/>
        <v>26.951332171790202</v>
      </c>
      <c r="Y39">
        <f t="shared" ca="1" si="30"/>
        <v>40.300977368498401</v>
      </c>
      <c r="Z39">
        <f t="shared" ca="1" si="30"/>
        <v>50.581300595892387</v>
      </c>
      <c r="AA39">
        <f t="shared" ca="1" si="30"/>
        <v>58.493803769545728</v>
      </c>
      <c r="AB39">
        <f t="shared" ca="1" si="30"/>
        <v>65.050001400885975</v>
      </c>
      <c r="AC39">
        <f t="shared" ca="1" si="30"/>
        <v>70.87970899627102</v>
      </c>
      <c r="AD39">
        <f t="shared" ca="1" si="30"/>
        <v>76.287958947944148</v>
      </c>
      <c r="AE39">
        <f t="shared" ca="1" si="30"/>
        <v>81.406654001083439</v>
      </c>
      <c r="AF39">
        <f t="shared" ca="1" si="30"/>
        <v>86.288363388884719</v>
      </c>
      <c r="AG39">
        <f t="shared" ca="1" si="30"/>
        <v>90.95219366013886</v>
      </c>
      <c r="AH39">
        <f t="shared" ca="1" si="30"/>
        <v>95.404334537898052</v>
      </c>
      <c r="AI39">
        <f t="shared" ca="1" si="30"/>
        <v>99.568981042621004</v>
      </c>
    </row>
    <row r="40" spans="1:35">
      <c r="A40" s="1" t="s">
        <v>37</v>
      </c>
      <c r="B40" s="1">
        <f ca="1">SUMPRODUCT(lz,qa2_)</f>
        <v>27.848833583002598</v>
      </c>
      <c r="C40" s="23">
        <f ca="1">B5/(phi_q2/SUM(B$39:B$41))</f>
        <v>0.65325947402230577</v>
      </c>
      <c r="D40" s="21"/>
      <c r="E40" s="39">
        <f ca="1">C40/AVERAGE(C$39:C$41)</f>
        <v>0.53002500718259282</v>
      </c>
      <c r="G40" s="1">
        <f ca="1">re*phi_q1+f1_*phi_q1*$H32+f1_*re*G36</f>
        <v>1346198.7827876366</v>
      </c>
      <c r="H40" s="1">
        <f ca="1">re*phi_q2+f2_*phi_q2*$H32+f2_*re*H36</f>
        <v>230192.92569049174</v>
      </c>
      <c r="I40" s="1">
        <f ca="1">re*phi_q3+f3_*phi_q3*$H33+f3_*re*I36</f>
        <v>387266.60486038378</v>
      </c>
      <c r="J40" s="8" t="s">
        <v>65</v>
      </c>
      <c r="K40">
        <f t="shared" ref="K40:AI40" ca="1" si="31">flt1_*qa1_+lz*wa*flt1_*flt2_/za*(sa-oa/za)</f>
        <v>-3.8852728258915413E-9</v>
      </c>
      <c r="L40">
        <f t="shared" ca="1" si="31"/>
        <v>-7.3194674290268479E-7</v>
      </c>
      <c r="M40">
        <f t="shared" ca="1" si="31"/>
        <v>-3.3023622836065748E-5</v>
      </c>
      <c r="N40">
        <f t="shared" ca="1" si="31"/>
        <v>-2.4397635622252893E-4</v>
      </c>
      <c r="O40">
        <f t="shared" ca="1" si="31"/>
        <v>-8.8836925875517415E-4</v>
      </c>
      <c r="P40">
        <f t="shared" ca="1" si="31"/>
        <v>-2.1806440655909583E-3</v>
      </c>
      <c r="Q40">
        <f t="shared" ca="1" si="31"/>
        <v>-5.9717404009153596E-3</v>
      </c>
      <c r="R40">
        <f t="shared" ca="1" si="31"/>
        <v>-1.3936594347581061E-2</v>
      </c>
      <c r="S40">
        <f t="shared" ca="1" si="31"/>
        <v>-2.0127812586711289E-2</v>
      </c>
      <c r="T40">
        <f t="shared" ca="1" si="31"/>
        <v>5.8344394451506132E-2</v>
      </c>
      <c r="U40">
        <f t="shared" ca="1" si="31"/>
        <v>0.76145756687759913</v>
      </c>
      <c r="V40">
        <f t="shared" ca="1" si="31"/>
        <v>4.1510951949798827</v>
      </c>
      <c r="W40">
        <f t="shared" ca="1" si="31"/>
        <v>13.384236584200929</v>
      </c>
      <c r="X40">
        <f t="shared" ca="1" si="31"/>
        <v>27.277159450181035</v>
      </c>
      <c r="Y40">
        <f t="shared" ca="1" si="31"/>
        <v>40.562054857298627</v>
      </c>
      <c r="Z40">
        <f t="shared" ca="1" si="31"/>
        <v>50.796581925934312</v>
      </c>
      <c r="AA40">
        <f t="shared" ca="1" si="31"/>
        <v>58.662016592529064</v>
      </c>
      <c r="AB40">
        <f t="shared" ca="1" si="31"/>
        <v>65.177897568212046</v>
      </c>
      <c r="AC40">
        <f t="shared" ca="1" si="31"/>
        <v>70.975460639846986</v>
      </c>
      <c r="AD40">
        <f t="shared" ca="1" si="31"/>
        <v>76.358920567141212</v>
      </c>
      <c r="AE40">
        <f t="shared" ca="1" si="31"/>
        <v>81.458844651882274</v>
      </c>
      <c r="AF40">
        <f t="shared" ca="1" si="31"/>
        <v>86.326510011593996</v>
      </c>
      <c r="AG40">
        <f t="shared" ca="1" si="31"/>
        <v>90.979926663076981</v>
      </c>
      <c r="AH40">
        <f t="shared" ca="1" si="31"/>
        <v>95.424402070675271</v>
      </c>
      <c r="AI40">
        <f t="shared" ca="1" si="31"/>
        <v>99.615626622929923</v>
      </c>
    </row>
    <row r="41" spans="1:35">
      <c r="A41" s="1" t="s">
        <v>38</v>
      </c>
      <c r="B41" s="1">
        <f ca="1">SUMPRODUCT(lz,qa3_)</f>
        <v>34.503660933432251</v>
      </c>
      <c r="C41" s="23">
        <f ca="1">B6/(phi_q3/SUM(B$39:B$41))</f>
        <v>0.4009238868255417</v>
      </c>
      <c r="D41" s="21"/>
      <c r="E41" s="39">
        <f ca="1">C41/AVERAGE(C$39:C$41)</f>
        <v>0.32529139560113735</v>
      </c>
      <c r="G41" s="1">
        <f ca="1">re*phi_q1+f1_*phi_q1*$H33+f1_*re*G37</f>
        <v>1352843.209297264</v>
      </c>
      <c r="H41" s="1">
        <f ca="1">re*phi_q3+f3_*phi_q3*$H33+f3_*re*H37</f>
        <v>387266.60486038384</v>
      </c>
      <c r="I41" s="1">
        <f ca="1">re*phi_q3+f1_*phi_q3*$H33+f3_*re*I37</f>
        <v>196044.47529664473</v>
      </c>
      <c r="J41" s="8" t="s">
        <v>67</v>
      </c>
      <c r="K41">
        <f t="shared" ref="K41:AI41" ca="1" si="32">flt1_*qa1_+lz*wa*flt3_*flt2_/za*(sa-oa/za)</f>
        <v>-1.4347011978513978E-7</v>
      </c>
      <c r="L41">
        <f t="shared" ca="1" si="32"/>
        <v>-3.7596035131779861E-5</v>
      </c>
      <c r="M41">
        <f t="shared" ca="1" si="32"/>
        <v>-2.3613419324892242E-3</v>
      </c>
      <c r="N41">
        <f t="shared" ca="1" si="32"/>
        <v>-2.4095251297760998E-2</v>
      </c>
      <c r="O41">
        <f t="shared" ca="1" si="32"/>
        <v>-0.11724412636365003</v>
      </c>
      <c r="P41">
        <f t="shared" ca="1" si="32"/>
        <v>-3.9212560460589199E-2</v>
      </c>
      <c r="Q41">
        <f t="shared" ca="1" si="32"/>
        <v>-0.66417492447323601</v>
      </c>
      <c r="R41">
        <f t="shared" ca="1" si="32"/>
        <v>-1.2161710824410699</v>
      </c>
      <c r="S41">
        <f t="shared" ca="1" si="32"/>
        <v>-1.2431369357948259</v>
      </c>
      <c r="T41">
        <f t="shared" ca="1" si="32"/>
        <v>-0.96140940034319211</v>
      </c>
      <c r="U41">
        <f t="shared" ca="1" si="32"/>
        <v>4.3219870842400865E-2</v>
      </c>
      <c r="V41">
        <f t="shared" ca="1" si="32"/>
        <v>3.7777715396339175</v>
      </c>
      <c r="W41">
        <f t="shared" ca="1" si="32"/>
        <v>13.30979423310945</v>
      </c>
      <c r="X41">
        <f t="shared" ca="1" si="32"/>
        <v>27.370216749887774</v>
      </c>
      <c r="Y41">
        <f t="shared" ca="1" si="32"/>
        <v>40.704419726348377</v>
      </c>
      <c r="Z41">
        <f t="shared" ca="1" si="32"/>
        <v>50.925033659813835</v>
      </c>
      <c r="AA41">
        <f t="shared" ca="1" si="32"/>
        <v>58.765751432115024</v>
      </c>
      <c r="AB41">
        <f t="shared" ca="1" si="32"/>
        <v>65.257766978919108</v>
      </c>
      <c r="AC41">
        <f t="shared" ca="1" si="32"/>
        <v>71.035546840712243</v>
      </c>
      <c r="AD41">
        <f t="shared" ca="1" si="32"/>
        <v>76.403534118878497</v>
      </c>
      <c r="AE41">
        <f t="shared" ca="1" si="32"/>
        <v>81.491680633208986</v>
      </c>
      <c r="AF41">
        <f t="shared" ca="1" si="32"/>
        <v>86.350516716370691</v>
      </c>
      <c r="AG41">
        <f t="shared" ca="1" si="32"/>
        <v>90.997381533802681</v>
      </c>
      <c r="AH41">
        <f t="shared" ca="1" si="32"/>
        <v>95.437032770947127</v>
      </c>
      <c r="AI41">
        <f t="shared" ca="1" si="32"/>
        <v>99.644985952414586</v>
      </c>
    </row>
    <row r="42" spans="1:35">
      <c r="A42" s="1" t="s">
        <v>96</v>
      </c>
      <c r="B42" s="1">
        <f ca="1">SUMPRODUCT(lz/SUM(lz),len,ta1_)</f>
        <v>7.5638101381237846</v>
      </c>
      <c r="J42" s="8" t="s">
        <v>68</v>
      </c>
      <c r="K42">
        <f t="shared" ref="K42:AI42" ca="1" si="33">flt1_*qa1_+lz*wa*flt1_*flt3_/za*(sa-oa/za)</f>
        <v>-3.3896204763829365E-10</v>
      </c>
      <c r="L42">
        <f t="shared" ca="1" si="33"/>
        <v>-1.783055811521951E-8</v>
      </c>
      <c r="M42">
        <f t="shared" ca="1" si="33"/>
        <v>-4.2222116719947189E-7</v>
      </c>
      <c r="N42">
        <f t="shared" ca="1" si="33"/>
        <v>-6.9161600163872835E-6</v>
      </c>
      <c r="O42">
        <f t="shared" ca="1" si="33"/>
        <v>-8.9663688921963109E-5</v>
      </c>
      <c r="P42">
        <f t="shared" ca="1" si="33"/>
        <v>-7.8112203872793227E-5</v>
      </c>
      <c r="Q42">
        <f t="shared" ca="1" si="33"/>
        <v>-4.8030328080603934E-3</v>
      </c>
      <c r="R42">
        <f t="shared" ca="1" si="33"/>
        <v>-2.3402628412902946E-2</v>
      </c>
      <c r="S42">
        <f t="shared" ca="1" si="33"/>
        <v>-5.3299198466588676E-2</v>
      </c>
      <c r="T42">
        <f t="shared" ca="1" si="33"/>
        <v>-2.1585105361792284E-2</v>
      </c>
      <c r="U42">
        <f t="shared" ca="1" si="33"/>
        <v>0.60057342794829394</v>
      </c>
      <c r="V42">
        <f t="shared" ca="1" si="33"/>
        <v>3.8860789502692716</v>
      </c>
      <c r="W42">
        <f t="shared" ca="1" si="33"/>
        <v>13.048588367844395</v>
      </c>
      <c r="X42">
        <f t="shared" ca="1" si="33"/>
        <v>26.951332171790202</v>
      </c>
      <c r="Y42">
        <f t="shared" ca="1" si="33"/>
        <v>40.300977368498401</v>
      </c>
      <c r="Z42">
        <f t="shared" ca="1" si="33"/>
        <v>50.581300595892387</v>
      </c>
      <c r="AA42">
        <f t="shared" ca="1" si="33"/>
        <v>58.493803769545728</v>
      </c>
      <c r="AB42">
        <f t="shared" ca="1" si="33"/>
        <v>65.050001400885975</v>
      </c>
      <c r="AC42">
        <f t="shared" ca="1" si="33"/>
        <v>70.87970899627102</v>
      </c>
      <c r="AD42">
        <f t="shared" ca="1" si="33"/>
        <v>76.287958947944148</v>
      </c>
      <c r="AE42">
        <f t="shared" ca="1" si="33"/>
        <v>81.406654001083439</v>
      </c>
      <c r="AF42">
        <f t="shared" ca="1" si="33"/>
        <v>86.288363388884719</v>
      </c>
      <c r="AG42">
        <f t="shared" ca="1" si="33"/>
        <v>90.95219366013886</v>
      </c>
      <c r="AH42">
        <f t="shared" ca="1" si="33"/>
        <v>95.404334537898052</v>
      </c>
      <c r="AI42">
        <f t="shared" ca="1" si="33"/>
        <v>99.568981042621004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-1.4347011978513978E-7</v>
      </c>
      <c r="L43">
        <f t="shared" ca="1" si="34"/>
        <v>-3.7596035131779861E-5</v>
      </c>
      <c r="M43">
        <f t="shared" ca="1" si="34"/>
        <v>-2.3613419324892242E-3</v>
      </c>
      <c r="N43">
        <f t="shared" ca="1" si="34"/>
        <v>-2.4095251297760998E-2</v>
      </c>
      <c r="O43">
        <f t="shared" ca="1" si="34"/>
        <v>-0.11724412636365007</v>
      </c>
      <c r="P43">
        <f t="shared" ca="1" si="34"/>
        <v>-3.9212560460589199E-2</v>
      </c>
      <c r="Q43">
        <f t="shared" ca="1" si="34"/>
        <v>-0.66417492447323601</v>
      </c>
      <c r="R43">
        <f t="shared" ca="1" si="34"/>
        <v>-1.2161710824410701</v>
      </c>
      <c r="S43">
        <f t="shared" ca="1" si="34"/>
        <v>-1.2431369357948256</v>
      </c>
      <c r="T43">
        <f t="shared" ca="1" si="34"/>
        <v>-0.96140940034319211</v>
      </c>
      <c r="U43">
        <f t="shared" ca="1" si="34"/>
        <v>4.3219870842400643E-2</v>
      </c>
      <c r="V43">
        <f t="shared" ca="1" si="34"/>
        <v>3.7777715396339175</v>
      </c>
      <c r="W43">
        <f t="shared" ca="1" si="34"/>
        <v>13.30979423310945</v>
      </c>
      <c r="X43">
        <f t="shared" ca="1" si="34"/>
        <v>27.370216749887774</v>
      </c>
      <c r="Y43">
        <f t="shared" ca="1" si="34"/>
        <v>40.704419726348377</v>
      </c>
      <c r="Z43">
        <f t="shared" ca="1" si="34"/>
        <v>50.925033659813835</v>
      </c>
      <c r="AA43">
        <f t="shared" ca="1" si="34"/>
        <v>58.765751432115024</v>
      </c>
      <c r="AB43">
        <f t="shared" ca="1" si="34"/>
        <v>65.257766978919108</v>
      </c>
      <c r="AC43">
        <f t="shared" ca="1" si="34"/>
        <v>71.035546840712243</v>
      </c>
      <c r="AD43">
        <f t="shared" ca="1" si="34"/>
        <v>76.403534118878497</v>
      </c>
      <c r="AE43">
        <f t="shared" ca="1" si="34"/>
        <v>81.491680633208986</v>
      </c>
      <c r="AF43">
        <f t="shared" ca="1" si="34"/>
        <v>86.350516716370691</v>
      </c>
      <c r="AG43">
        <f t="shared" ca="1" si="34"/>
        <v>90.997381533802681</v>
      </c>
      <c r="AH43">
        <f t="shared" ca="1" si="34"/>
        <v>95.437032770947127</v>
      </c>
      <c r="AI43">
        <f t="shared" ca="1" si="34"/>
        <v>99.644985952414586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0.26919363715000283</v>
      </c>
      <c r="G46" s="32" t="s">
        <v>94</v>
      </c>
      <c r="H46" s="32"/>
      <c r="I46" s="32"/>
      <c r="J46" s="8" t="s">
        <v>75</v>
      </c>
      <c r="K46">
        <f t="shared" ref="K46:AI46" ca="1" si="35">lz*qa1_</f>
        <v>1.1461587653193168E-6</v>
      </c>
      <c r="L46">
        <f t="shared" ca="1" si="35"/>
        <v>1.6661360308283262E-5</v>
      </c>
      <c r="M46">
        <f t="shared" ca="1" si="35"/>
        <v>1.0995228371784824E-4</v>
      </c>
      <c r="N46">
        <f t="shared" ca="1" si="35"/>
        <v>5.071947293475564E-4</v>
      </c>
      <c r="O46">
        <f t="shared" ca="1" si="35"/>
        <v>1.9168691054451254E-3</v>
      </c>
      <c r="P46">
        <f t="shared" ca="1" si="35"/>
        <v>6.4412694854204602E-3</v>
      </c>
      <c r="Q46">
        <f t="shared" ca="1" si="35"/>
        <v>1.9880534481898509E-2</v>
      </c>
      <c r="R46">
        <f t="shared" ca="1" si="35"/>
        <v>5.6909953643600089E-2</v>
      </c>
      <c r="S46">
        <f t="shared" ca="1" si="35"/>
        <v>0.15268033877534076</v>
      </c>
      <c r="T46">
        <f t="shared" ca="1" si="35"/>
        <v>0.38169996201102202</v>
      </c>
      <c r="U46">
        <f t="shared" ca="1" si="35"/>
        <v>0.85742650671047971</v>
      </c>
      <c r="V46">
        <f t="shared" ca="1" si="35"/>
        <v>1.6106328484234813</v>
      </c>
      <c r="W46">
        <f t="shared" ca="1" si="35"/>
        <v>2.3438809844106827</v>
      </c>
      <c r="X46">
        <f t="shared" ca="1" si="35"/>
        <v>2.6180545181822059</v>
      </c>
      <c r="Y46">
        <f t="shared" ca="1" si="35"/>
        <v>2.4114503831228706</v>
      </c>
      <c r="Z46">
        <f t="shared" ca="1" si="35"/>
        <v>1.9923342071046686</v>
      </c>
      <c r="AA46">
        <f t="shared" ca="1" si="35"/>
        <v>1.5580261648417997</v>
      </c>
      <c r="AB46">
        <f t="shared" ca="1" si="35"/>
        <v>1.1849999296830691</v>
      </c>
      <c r="AC46">
        <f t="shared" ca="1" si="35"/>
        <v>0.88728738249272743</v>
      </c>
      <c r="AD46">
        <f t="shared" ca="1" si="35"/>
        <v>0.65760323786316732</v>
      </c>
      <c r="AE46">
        <f t="shared" ca="1" si="35"/>
        <v>0.4836617962047437</v>
      </c>
      <c r="AF46">
        <f t="shared" ca="1" si="35"/>
        <v>0.35351549279596872</v>
      </c>
      <c r="AG46">
        <f t="shared" ca="1" si="35"/>
        <v>0.25701025292975049</v>
      </c>
      <c r="AH46">
        <f t="shared" ca="1" si="35"/>
        <v>0.18597214942172827</v>
      </c>
      <c r="AI46">
        <f t="shared" ca="1" si="35"/>
        <v>0.43227935047872412</v>
      </c>
    </row>
    <row r="47" spans="1:35" ht="19" thickTop="1">
      <c r="A47" s="1" t="s">
        <v>41</v>
      </c>
      <c r="B47" s="11">
        <f ca="1">MAX(0,Ro*(reck-1/spr)/(reck-1))</f>
        <v>7603.372814645968</v>
      </c>
      <c r="F47" t="s">
        <v>84</v>
      </c>
      <c r="G47" s="31">
        <f ca="1">G39/G53</f>
        <v>1</v>
      </c>
      <c r="H47" s="31">
        <f ca="1">H53/H39</f>
        <v>0.42013166305552063</v>
      </c>
      <c r="I47" s="31">
        <f ca="1">I53/I39</f>
        <v>0.38581442248538794</v>
      </c>
      <c r="J47" s="8" t="s">
        <v>76</v>
      </c>
      <c r="K47">
        <f t="shared" ref="K47:AI47" ca="1" si="36">lz*qa2_</f>
        <v>4.5810543669750042E-4</v>
      </c>
      <c r="L47">
        <f t="shared" ca="1" si="36"/>
        <v>3.349810324344598E-2</v>
      </c>
      <c r="M47">
        <f t="shared" ca="1" si="36"/>
        <v>0.59090708965457339</v>
      </c>
      <c r="N47">
        <f t="shared" ca="1" si="36"/>
        <v>1.7072931513868703</v>
      </c>
      <c r="O47">
        <f t="shared" ca="1" si="36"/>
        <v>2.4296279774716614</v>
      </c>
      <c r="P47">
        <f t="shared" ca="1" si="36"/>
        <v>2.3468194022011635</v>
      </c>
      <c r="Q47">
        <f t="shared" ca="1" si="36"/>
        <v>2.5989693234580131</v>
      </c>
      <c r="R47">
        <f t="shared" ca="1" si="36"/>
        <v>2.6815009905558966</v>
      </c>
      <c r="S47">
        <f t="shared" ca="1" si="36"/>
        <v>2.623805130467971</v>
      </c>
      <c r="T47">
        <f t="shared" ca="1" si="36"/>
        <v>2.462753418524227</v>
      </c>
      <c r="U47">
        <f t="shared" ca="1" si="36"/>
        <v>2.219295319676954</v>
      </c>
      <c r="V47">
        <f t="shared" ca="1" si="36"/>
        <v>1.9059288160214012</v>
      </c>
      <c r="W47">
        <f t="shared" ca="1" si="36"/>
        <v>1.5460803004121948</v>
      </c>
      <c r="X47">
        <f t="shared" ca="1" si="36"/>
        <v>1.1855403076704429</v>
      </c>
      <c r="Y47">
        <f t="shared" ca="1" si="36"/>
        <v>0.87051719164026575</v>
      </c>
      <c r="Z47">
        <f t="shared" ca="1" si="36"/>
        <v>0.67689571566841777</v>
      </c>
      <c r="AA47">
        <f t="shared" ca="1" si="36"/>
        <v>0.51644194747264416</v>
      </c>
      <c r="AB47">
        <f t="shared" ca="1" si="36"/>
        <v>0.38897292002502842</v>
      </c>
      <c r="AC47">
        <f t="shared" ca="1" si="36"/>
        <v>0.29013603918372699</v>
      </c>
      <c r="AD47">
        <f t="shared" ca="1" si="36"/>
        <v>0.21471067917479991</v>
      </c>
      <c r="AE47">
        <f t="shared" ca="1" si="36"/>
        <v>0.15782699937026315</v>
      </c>
      <c r="AF47">
        <f t="shared" ca="1" si="36"/>
        <v>0.11533282537406338</v>
      </c>
      <c r="AG47">
        <f t="shared" ca="1" si="36"/>
        <v>8.3841762902530842E-2</v>
      </c>
      <c r="AH47">
        <f t="shared" ca="1" si="36"/>
        <v>6.0666218522410775E-2</v>
      </c>
      <c r="AI47">
        <f t="shared" ca="1" si="36"/>
        <v>0.14101384748692894</v>
      </c>
    </row>
    <row r="48" spans="1:35">
      <c r="A48" s="1" t="s">
        <v>43</v>
      </c>
      <c r="B48" s="1">
        <f ca="1">f1_*re*phi_q1</f>
        <v>27503.775548065692</v>
      </c>
      <c r="C48" s="20">
        <f ca="1">ye_1/SUM(ye_1,ye_2,ye_3)</f>
        <v>0.66021417938208504</v>
      </c>
      <c r="F48" t="s">
        <v>85</v>
      </c>
      <c r="G48" s="31">
        <f ca="1">G40/G54</f>
        <v>2.3802062256560976</v>
      </c>
      <c r="H48" s="31">
        <f t="shared" ref="H48:I49" ca="1" si="37">H40/H54</f>
        <v>1.0000000000000002</v>
      </c>
      <c r="I48" s="31">
        <f ca="1">I54/I40</f>
        <v>0.54854623964448079</v>
      </c>
      <c r="J48" s="8" t="s">
        <v>77</v>
      </c>
      <c r="K48">
        <f t="shared" ref="K48:AI48" ca="1" si="38">lz*qa3_</f>
        <v>4.2112465248351346E-5</v>
      </c>
      <c r="L48">
        <f t="shared" ca="1" si="38"/>
        <v>8.5480583053986555E-4</v>
      </c>
      <c r="M48">
        <f t="shared" ca="1" si="38"/>
        <v>7.8580698853924925E-3</v>
      </c>
      <c r="N48">
        <f t="shared" ca="1" si="38"/>
        <v>5.0041718938677288E-2</v>
      </c>
      <c r="O48">
        <f t="shared" ca="1" si="38"/>
        <v>0.25218245797482575</v>
      </c>
      <c r="P48">
        <f t="shared" ca="1" si="38"/>
        <v>0.11436287824587778</v>
      </c>
      <c r="Q48">
        <f t="shared" ca="1" si="38"/>
        <v>2.1130870436330405</v>
      </c>
      <c r="R48">
        <f t="shared" ca="1" si="38"/>
        <v>4.2295206831510814</v>
      </c>
      <c r="S48">
        <f t="shared" ca="1" si="38"/>
        <v>4.7811521106682626</v>
      </c>
      <c r="T48">
        <f t="shared" ca="1" si="38"/>
        <v>4.5919768521062876</v>
      </c>
      <c r="U48">
        <f t="shared" ca="1" si="38"/>
        <v>4.098273688047672</v>
      </c>
      <c r="V48">
        <f t="shared" ca="1" si="38"/>
        <v>3.456630410596091</v>
      </c>
      <c r="W48">
        <f t="shared" ca="1" si="38"/>
        <v>2.7480075887403452</v>
      </c>
      <c r="X48">
        <f t="shared" ca="1" si="38"/>
        <v>2.064004142252275</v>
      </c>
      <c r="Y48">
        <f t="shared" ca="1" si="38"/>
        <v>1.4843009164254855</v>
      </c>
      <c r="Z48">
        <f t="shared" ca="1" si="38"/>
        <v>1.154160929548085</v>
      </c>
      <c r="AA48">
        <f t="shared" ca="1" si="38"/>
        <v>0.88057451739675807</v>
      </c>
      <c r="AB48">
        <f t="shared" ca="1" si="38"/>
        <v>0.66322970666434955</v>
      </c>
      <c r="AC48">
        <f t="shared" ca="1" si="38"/>
        <v>0.494704978814972</v>
      </c>
      <c r="AD48">
        <f t="shared" ca="1" si="38"/>
        <v>0.36609875247264761</v>
      </c>
      <c r="AE48">
        <f t="shared" ca="1" si="38"/>
        <v>0.26910756278179671</v>
      </c>
      <c r="AF48">
        <f t="shared" ca="1" si="38"/>
        <v>0.19665162278312032</v>
      </c>
      <c r="AG48">
        <f t="shared" ca="1" si="38"/>
        <v>0.14295686139921898</v>
      </c>
      <c r="AH48">
        <f t="shared" ca="1" si="38"/>
        <v>0.10344071847588997</v>
      </c>
      <c r="AI48">
        <f t="shared" ca="1" si="38"/>
        <v>0.24043980413430674</v>
      </c>
    </row>
    <row r="49" spans="1:47">
      <c r="A49" s="1" t="s">
        <v>44</v>
      </c>
      <c r="B49" s="1">
        <f ca="1">f2_*re*phi_q2</f>
        <v>8566.0186574304498</v>
      </c>
      <c r="C49" s="20">
        <f ca="1">ye_2/SUM(ye_1,ye_2,ye_3)</f>
        <v>0.20562293233536849</v>
      </c>
      <c r="F49" t="s">
        <v>86</v>
      </c>
      <c r="G49" s="31">
        <f ca="1">G41/G55</f>
        <v>2.5919196943392473</v>
      </c>
      <c r="H49" s="31">
        <f t="shared" ca="1" si="37"/>
        <v>1.8230003739486242</v>
      </c>
      <c r="I49" s="31">
        <f t="shared" ca="1" si="37"/>
        <v>0.99999999999999989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5589.0740935872363</v>
      </c>
      <c r="C50" s="20">
        <f ca="1">ye_3/SUM(ye_1,ye_2,ye_3)</f>
        <v>0.13416288828254636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41658.868299083384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1178.8230532148709</v>
      </c>
      <c r="H52" s="57">
        <f ca="1">H40^0.5</f>
        <v>479.78424910629542</v>
      </c>
      <c r="I52" s="11">
        <f ca="1">I41^0.5</f>
        <v>442.76909930193267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3.6173125030889777</v>
      </c>
      <c r="C53">
        <f ca="1">AVERAGE(B53:B55)/B53</f>
        <v>0.50488666215153144</v>
      </c>
      <c r="G53">
        <f ca="1">G$52*$J53</f>
        <v>1389623.7907908305</v>
      </c>
      <c r="H53">
        <f t="shared" ref="H53:I53" ca="1" si="39">H$52*$J53</f>
        <v>565580.73341588734</v>
      </c>
      <c r="I53">
        <f t="shared" ca="1" si="39"/>
        <v>521946.42150830262</v>
      </c>
      <c r="J53">
        <f t="array" aca="1" ref="J53:J55" ca="1">TRANSPOSE(G52:I52)</f>
        <v>1178.8230532148709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1.1266077392562139</v>
      </c>
      <c r="C54">
        <f ca="1">AVERAGE(B53:B55)/B54</f>
        <v>1.6210902623918948</v>
      </c>
      <c r="G54">
        <f t="shared" ref="G54:I55" ca="1" si="40">G$52*$J54</f>
        <v>565580.73341588734</v>
      </c>
      <c r="H54">
        <f t="shared" ca="1" si="40"/>
        <v>230192.92569049174</v>
      </c>
      <c r="I54">
        <f ca="1">I$52*$J54</f>
        <v>212433.6398360485</v>
      </c>
      <c r="J54">
        <f ca="1"/>
        <v>479.78424910629542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0.73507826458559333</v>
      </c>
      <c r="C55">
        <f ca="1">AVERAGE(B53:B55)/B55</f>
        <v>2.4845420190368515</v>
      </c>
      <c r="G55">
        <f t="shared" ca="1" si="40"/>
        <v>521946.42150830262</v>
      </c>
      <c r="H55">
        <f t="shared" ca="1" si="40"/>
        <v>212433.6398360485</v>
      </c>
      <c r="I55">
        <f t="shared" ca="1" si="40"/>
        <v>196044.47529664473</v>
      </c>
      <c r="J55">
        <f ca="1"/>
        <v>442.76909930193267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6.5467529921993256E-2</v>
      </c>
      <c r="C56">
        <f ca="1">AVERAGE(B56:B58)/B56</f>
        <v>1.0015609311013745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0.10405908692771379</v>
      </c>
      <c r="C57">
        <f ca="1">AVERAGE(B56:B58)/B57</f>
        <v>0.63012008044167866</v>
      </c>
      <c r="G57">
        <f t="array" aca="1" ref="G57:I59" ca="1">MMULT($G$52:$I$52,TRANSPOSE($G$52:$I$52))</f>
        <v>1815861.1917779669</v>
      </c>
      <c r="H57">
        <f ca="1"/>
        <v>1815861.1917779669</v>
      </c>
      <c r="I57">
        <f ca="1"/>
        <v>1815861.1917779669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2.7182543827028866E-2</v>
      </c>
      <c r="C58">
        <f ca="1">AVERAGE(B56:B58)/B58</f>
        <v>2.4121995587616647</v>
      </c>
      <c r="G58">
        <f ca="1"/>
        <v>1815861.1917779669</v>
      </c>
      <c r="H58">
        <f ca="1"/>
        <v>1815861.1917779669</v>
      </c>
      <c r="I58">
        <f ca="1"/>
        <v>1815861.1917779669</v>
      </c>
      <c r="AL58" s="31"/>
      <c r="AM58" s="31"/>
      <c r="AN58" s="31"/>
      <c r="AO58" s="31"/>
      <c r="AP58" s="31"/>
    </row>
    <row r="59" spans="1:47">
      <c r="G59">
        <f ca="1"/>
        <v>1815861.1917779669</v>
      </c>
      <c r="H59">
        <f ca="1"/>
        <v>1815861.1917779669</v>
      </c>
      <c r="I59">
        <f ca="1"/>
        <v>1815861.1917779669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55.253535720671394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10.826615651921191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27.042291157999379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'No Size Limit (2)'!K6:AI6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(2)'!K18:AI18</xm:f>
              <xm:sqref>J18</xm:sqref>
            </x14:sparkline>
            <x14:sparkline>
              <xm:f>'No Size Limit (2)'!K19:AI19</xm:f>
              <xm:sqref>J19</xm:sqref>
            </x14:sparkline>
            <x14:sparkline>
              <xm:f>'No Size Limit (2)'!K20:AI20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'No Size Limit (2)'!K46:AI46</xm:f>
              <xm:sqref>J46</xm:sqref>
            </x14:sparkline>
            <x14:sparkline>
              <xm:f>'No Size Limit (2)'!K47:AI47</xm:f>
              <xm:sqref>J47</xm:sqref>
            </x14:sparkline>
            <x14:sparkline>
              <xm:f>'No Size Limit (2)'!K48:AI48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(2)'!K35:AI35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0.60367371601208453</v>
      </c>
      <c r="E4" s="47">
        <v>24977</v>
      </c>
      <c r="F4" s="47">
        <f ca="1">ye_1</f>
        <v>25159.187755579718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0.22513595166163144</v>
      </c>
      <c r="E5" s="47">
        <v>9315</v>
      </c>
      <c r="F5" s="47">
        <f ca="1">ye_2</f>
        <v>9382.94566774333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0.17119033232628403</v>
      </c>
      <c r="E6" s="47">
        <v>7083</v>
      </c>
      <c r="F6" s="47">
        <f ca="1">ye_3</f>
        <v>7134.6649666801941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0.27285711515452366</v>
      </c>
      <c r="J7" t="s">
        <v>7</v>
      </c>
      <c r="K7" s="1">
        <f>1</f>
        <v>1</v>
      </c>
      <c r="L7" s="1">
        <f ca="1">K7*EXP(-K8)</f>
        <v>0.86048833069709751</v>
      </c>
      <c r="M7" s="1">
        <f t="shared" ref="M7:AH7" ca="1" si="4">L7*EXP(-L8)</f>
        <v>0.73820016258900512</v>
      </c>
      <c r="N7" s="1">
        <f t="shared" ca="1" si="4"/>
        <v>0.62122952687457478</v>
      </c>
      <c r="O7" s="1">
        <f t="shared" ca="1" si="4"/>
        <v>0.51569115417594236</v>
      </c>
      <c r="P7" s="1">
        <f t="shared" ca="1" si="4"/>
        <v>0.42854234725192658</v>
      </c>
      <c r="Q7" s="1">
        <f t="shared" ca="1" si="4"/>
        <v>0.35681871255200742</v>
      </c>
      <c r="R7" s="1">
        <f t="shared" ca="1" si="4"/>
        <v>0.29372245177267575</v>
      </c>
      <c r="S7" s="1">
        <f t="shared" ca="1" si="4"/>
        <v>0.23931408052076153</v>
      </c>
      <c r="T7" s="1">
        <f t="shared" ca="1" si="4"/>
        <v>0.19446727802631469</v>
      </c>
      <c r="U7" s="1">
        <f t="shared" ca="1" si="4"/>
        <v>0.15734899279121792</v>
      </c>
      <c r="V7" s="1">
        <f t="shared" ca="1" si="4"/>
        <v>0.125645541514117</v>
      </c>
      <c r="W7" s="1">
        <f t="shared" ca="1" si="4"/>
        <v>9.764412312802917E-2</v>
      </c>
      <c r="X7" s="1">
        <f t="shared" ca="1" si="4"/>
        <v>7.3169020879195704E-2</v>
      </c>
      <c r="Y7" s="1">
        <f t="shared" ca="1" si="4"/>
        <v>5.3152954884686028E-2</v>
      </c>
      <c r="Z7" s="1">
        <f t="shared" ca="1" si="4"/>
        <v>3.7939583298402274E-2</v>
      </c>
      <c r="AA7" s="1">
        <f t="shared" ca="1" si="4"/>
        <v>2.6815691293329197E-2</v>
      </c>
      <c r="AB7" s="1">
        <f t="shared" ca="1" si="4"/>
        <v>1.8874429524724626E-2</v>
      </c>
      <c r="AC7" s="1">
        <f t="shared" ca="1" si="4"/>
        <v>1.326258670989394E-2</v>
      </c>
      <c r="AD7" s="1">
        <f t="shared" ca="1" si="4"/>
        <v>9.3131043160167241E-3</v>
      </c>
      <c r="AE7" s="1">
        <f t="shared" ca="1" si="4"/>
        <v>6.5380496520149097E-3</v>
      </c>
      <c r="AF7" s="1">
        <f t="shared" ca="1" si="4"/>
        <v>4.5894269859123264E-3</v>
      </c>
      <c r="AG7" s="1">
        <f t="shared" ca="1" si="4"/>
        <v>3.2214558709521756E-3</v>
      </c>
      <c r="AH7" s="1">
        <f t="shared" ca="1" si="4"/>
        <v>2.2612048176209533E-3</v>
      </c>
      <c r="AI7" s="1">
        <f ca="1">AH7*EXP(-AH8)/(1-EXP(-AI8))</f>
        <v>5.3246113650195701E-3</v>
      </c>
    </row>
    <row r="8" spans="1:35">
      <c r="A8" s="5"/>
      <c r="B8" s="26"/>
      <c r="C8" s="26"/>
      <c r="E8" t="s">
        <v>111</v>
      </c>
      <c r="F8">
        <f ca="1">SUMXMY2(E4:E6,F4:F6)</f>
        <v>40478.260830327701</v>
      </c>
      <c r="J8" t="s">
        <v>11</v>
      </c>
      <c r="K8" s="1">
        <f ca="1">M+f1_*flt1_ +f2_*flt2_ +f3_*flt3_</f>
        <v>0.15025522449501399</v>
      </c>
      <c r="L8" s="1">
        <f t="shared" ref="L8:AI8" ca="1" si="5">M+f1_*flt1_ +f2_*flt2_ +f3_*flt3_</f>
        <v>0.15328504364063247</v>
      </c>
      <c r="M8" s="1">
        <f t="shared" ca="1" si="5"/>
        <v>0.17251438870772573</v>
      </c>
      <c r="N8" s="1">
        <f t="shared" ca="1" si="5"/>
        <v>0.18619257427154509</v>
      </c>
      <c r="O8" s="1">
        <f t="shared" ca="1" si="5"/>
        <v>0.18511848798680819</v>
      </c>
      <c r="P8" s="1">
        <f t="shared" ca="1" si="5"/>
        <v>0.18316171505647974</v>
      </c>
      <c r="Q8" s="1">
        <f t="shared" ca="1" si="5"/>
        <v>0.19459256496269645</v>
      </c>
      <c r="R8" s="1">
        <f t="shared" ca="1" si="5"/>
        <v>0.20485844622344071</v>
      </c>
      <c r="S8" s="1">
        <f t="shared" ca="1" si="5"/>
        <v>0.20751292110118094</v>
      </c>
      <c r="T8" s="1">
        <f t="shared" ca="1" si="5"/>
        <v>0.21179769011933863</v>
      </c>
      <c r="U8" s="1">
        <f t="shared" ca="1" si="5"/>
        <v>0.2250014424307453</v>
      </c>
      <c r="V8" s="1">
        <f t="shared" ca="1" si="5"/>
        <v>0.25213530749560698</v>
      </c>
      <c r="W8" s="1">
        <f t="shared" ca="1" si="5"/>
        <v>0.28855735313598979</v>
      </c>
      <c r="X8" s="1">
        <f t="shared" ca="1" si="5"/>
        <v>0.31959842091598123</v>
      </c>
      <c r="Y8" s="1">
        <f t="shared" ca="1" si="5"/>
        <v>0.33717871716577086</v>
      </c>
      <c r="Z8" s="1">
        <f t="shared" ca="1" si="5"/>
        <v>0.34700776907254394</v>
      </c>
      <c r="AA8" s="1">
        <f t="shared" ca="1" si="5"/>
        <v>0.35117914137794748</v>
      </c>
      <c r="AB8" s="1">
        <f t="shared" ca="1" si="5"/>
        <v>0.35286102892892257</v>
      </c>
      <c r="AC8" s="1">
        <f t="shared" ca="1" si="5"/>
        <v>0.35352456729846388</v>
      </c>
      <c r="AD8" s="1">
        <f t="shared" ca="1" si="5"/>
        <v>0.35378357194847354</v>
      </c>
      <c r="AE8" s="1">
        <f t="shared" ca="1" si="5"/>
        <v>0.35388372603801332</v>
      </c>
      <c r="AF8" s="1">
        <f t="shared" ca="1" si="5"/>
        <v>0.35392178539812424</v>
      </c>
      <c r="AG8" s="1">
        <f t="shared" ca="1" si="5"/>
        <v>0.35393561483454639</v>
      </c>
      <c r="AH8" s="1">
        <f t="shared" ca="1" si="5"/>
        <v>0.35393999606645155</v>
      </c>
      <c r="AI8" s="1">
        <f t="shared" ca="1" si="5"/>
        <v>0.35394069406745582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0.86048833069709751</v>
      </c>
      <c r="L10" s="1">
        <f t="shared" ca="1" si="6"/>
        <v>0.85788515224950879</v>
      </c>
      <c r="M10" s="1">
        <f t="shared" ca="1" si="6"/>
        <v>0.84154617996263692</v>
      </c>
      <c r="N10" s="1">
        <f t="shared" ca="1" si="6"/>
        <v>0.83011372104349357</v>
      </c>
      <c r="O10" s="1">
        <f t="shared" ca="1" si="6"/>
        <v>0.83100581381257799</v>
      </c>
      <c r="P10" s="1">
        <f t="shared" ca="1" si="6"/>
        <v>0.83263349547634069</v>
      </c>
      <c r="Q10" s="1">
        <f t="shared" ca="1" si="6"/>
        <v>0.8231699780315328</v>
      </c>
      <c r="R10" s="1">
        <f t="shared" ca="1" si="6"/>
        <v>0.81476264097773787</v>
      </c>
      <c r="S10" s="1">
        <f t="shared" ca="1" si="6"/>
        <v>0.8126027419830143</v>
      </c>
      <c r="T10" s="1">
        <f t="shared" ca="1" si="6"/>
        <v>0.80912837567421469</v>
      </c>
      <c r="U10" s="1">
        <f t="shared" ca="1" si="6"/>
        <v>0.79851506695586316</v>
      </c>
      <c r="V10" s="1">
        <f t="shared" ca="1" si="6"/>
        <v>0.77713957814458778</v>
      </c>
      <c r="W10" s="1">
        <f t="shared" ca="1" si="6"/>
        <v>0.74934382669664434</v>
      </c>
      <c r="X10" s="1">
        <f t="shared" ca="1" si="6"/>
        <v>0.72644070189818699</v>
      </c>
      <c r="Y10" s="1">
        <f t="shared" ca="1" si="6"/>
        <v>0.71378126353861659</v>
      </c>
      <c r="Z10" s="1">
        <f t="shared" ca="1" si="6"/>
        <v>0.70679983705721061</v>
      </c>
      <c r="AA10" s="1">
        <f t="shared" ca="1" si="6"/>
        <v>0.70385765253122234</v>
      </c>
      <c r="AB10" s="1">
        <f t="shared" ca="1" si="6"/>
        <v>0.70267483806705611</v>
      </c>
      <c r="AC10" s="1">
        <f t="shared" ca="1" si="6"/>
        <v>0.70220874100443109</v>
      </c>
      <c r="AD10" s="1">
        <f t="shared" ca="1" si="6"/>
        <v>0.70202688922647827</v>
      </c>
      <c r="AE10" s="1">
        <f t="shared" ca="1" si="6"/>
        <v>0.70195658188339805</v>
      </c>
      <c r="AF10" s="1">
        <f t="shared" ca="1" si="6"/>
        <v>0.70192986637345678</v>
      </c>
      <c r="AG10" s="1">
        <f t="shared" ca="1" si="6"/>
        <v>0.70192015914611983</v>
      </c>
      <c r="AH10" s="1">
        <f t="shared" ca="1" si="6"/>
        <v>0.70191708387786045</v>
      </c>
      <c r="AI10" s="1">
        <f t="shared" ca="1" si="6"/>
        <v>0.70191659393920192</v>
      </c>
    </row>
    <row r="11" spans="1:35">
      <c r="A11" s="5">
        <v>1</v>
      </c>
      <c r="B11" s="25">
        <f>'Status Quo'!B11</f>
        <v>0.33281383386907948</v>
      </c>
      <c r="C11" s="18">
        <f ca="1">mpr1_/SUM(mpr1_,mpr2_,mpr3_)</f>
        <v>0.30004283434636758</v>
      </c>
      <c r="J11" t="s">
        <v>56</v>
      </c>
      <c r="K11" s="1">
        <f ca="1">1-sa</f>
        <v>0.13951166930290249</v>
      </c>
      <c r="L11" s="1">
        <f t="shared" ref="L11:AI11" ca="1" si="7">1-sa</f>
        <v>0.14211484775049121</v>
      </c>
      <c r="M11" s="1">
        <f t="shared" ca="1" si="7"/>
        <v>0.15845382003736308</v>
      </c>
      <c r="N11" s="1">
        <f t="shared" ca="1" si="7"/>
        <v>0.16988627895650643</v>
      </c>
      <c r="O11" s="1">
        <f t="shared" ca="1" si="7"/>
        <v>0.16899418618742201</v>
      </c>
      <c r="P11" s="1">
        <f t="shared" ca="1" si="7"/>
        <v>0.16736650452365931</v>
      </c>
      <c r="Q11" s="1">
        <f t="shared" ca="1" si="7"/>
        <v>0.1768300219684672</v>
      </c>
      <c r="R11" s="1">
        <f t="shared" ca="1" si="7"/>
        <v>0.18523735902226213</v>
      </c>
      <c r="S11" s="1">
        <f t="shared" ca="1" si="7"/>
        <v>0.1873972580169857</v>
      </c>
      <c r="T11" s="1">
        <f t="shared" ca="1" si="7"/>
        <v>0.19087162432578531</v>
      </c>
      <c r="U11" s="1">
        <f t="shared" ca="1" si="7"/>
        <v>0.20148493304413684</v>
      </c>
      <c r="V11" s="1">
        <f t="shared" ca="1" si="7"/>
        <v>0.22286042185541222</v>
      </c>
      <c r="W11" s="1">
        <f t="shared" ca="1" si="7"/>
        <v>0.25065617330335566</v>
      </c>
      <c r="X11" s="1">
        <f t="shared" ca="1" si="7"/>
        <v>0.27355929810181301</v>
      </c>
      <c r="Y11" s="1">
        <f t="shared" ca="1" si="7"/>
        <v>0.28621873646138341</v>
      </c>
      <c r="Z11" s="1">
        <f t="shared" ca="1" si="7"/>
        <v>0.29320016294278939</v>
      </c>
      <c r="AA11" s="1">
        <f t="shared" ca="1" si="7"/>
        <v>0.29614234746877766</v>
      </c>
      <c r="AB11" s="1">
        <f t="shared" ca="1" si="7"/>
        <v>0.29732516193294389</v>
      </c>
      <c r="AC11" s="1">
        <f t="shared" ca="1" si="7"/>
        <v>0.29779125899556891</v>
      </c>
      <c r="AD11" s="1">
        <f t="shared" ca="1" si="7"/>
        <v>0.29797311077352173</v>
      </c>
      <c r="AE11" s="1">
        <f t="shared" ca="1" si="7"/>
        <v>0.29804341811660195</v>
      </c>
      <c r="AF11" s="1">
        <f t="shared" ca="1" si="7"/>
        <v>0.29807013362654322</v>
      </c>
      <c r="AG11" s="1">
        <f t="shared" ca="1" si="7"/>
        <v>0.29807984085388017</v>
      </c>
      <c r="AH11" s="1">
        <f t="shared" ca="1" si="7"/>
        <v>0.29808291612213955</v>
      </c>
      <c r="AI11" s="1">
        <f t="shared" ca="1" si="7"/>
        <v>0.29808340606079808</v>
      </c>
    </row>
    <row r="12" spans="1:35">
      <c r="A12" s="5">
        <v>2</v>
      </c>
      <c r="B12" s="25">
        <f>'Status Quo'!B12</f>
        <v>0.52899969970753113</v>
      </c>
      <c r="C12" s="18">
        <f ca="1">mpr2_/SUM(mpr1_,mpr2_,mpr3_)</f>
        <v>0.53174446697831579</v>
      </c>
      <c r="J12" t="s">
        <v>100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5">
        <f>1-SUM(B11:B12)</f>
        <v>0.13818646642338939</v>
      </c>
      <c r="C13" s="18">
        <f ca="1">mpr3_/SUM(mpr1_,mpr2_,mpr3_)</f>
        <v>0.1682126986753166</v>
      </c>
      <c r="J13" t="s">
        <v>101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7" t="s">
        <v>49</v>
      </c>
      <c r="B14" s="30">
        <v>0.4</v>
      </c>
      <c r="C14" s="29">
        <f ca="1">spr</f>
        <v>0.27285711515452366</v>
      </c>
      <c r="J14" t="s">
        <v>102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6" t="s">
        <v>50</v>
      </c>
      <c r="C15" s="26">
        <f ca="1">CHOOSE(C25,SUMXMY2(B14,C14),SUMXMY2(B7,C7))</f>
        <v>1.6165313166830064E-2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7">
        <v>1000000</v>
      </c>
      <c r="E18">
        <v>82</v>
      </c>
      <c r="F18" s="31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103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1">
        <v>0.4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104</v>
      </c>
      <c r="K19" s="4">
        <f t="shared" si="12"/>
        <v>2.7964157702227983E-3</v>
      </c>
      <c r="L19" s="4">
        <f t="shared" si="12"/>
        <v>3.6111154878865959E-2</v>
      </c>
      <c r="M19" s="4">
        <f t="shared" si="12"/>
        <v>0.24762983785040377</v>
      </c>
      <c r="N19" s="4">
        <f t="shared" si="12"/>
        <v>0.39787154862997498</v>
      </c>
      <c r="O19" s="4">
        <f t="shared" si="12"/>
        <v>0.38512107318293554</v>
      </c>
      <c r="P19" s="4">
        <f t="shared" ref="P19:Y19" si="14">((EXP(g*(ah-age)/gh)/(1+EXP((ah-age)/gh))) *(1/(1-g))*((1-g)/g)^g) *(sr_2+(1-sr_2)*dmr)</f>
        <v>0.35372767115843323</v>
      </c>
      <c r="Q19" s="4">
        <f t="shared" si="14"/>
        <v>0.32463963817095953</v>
      </c>
      <c r="R19" s="4">
        <f t="shared" si="14"/>
        <v>0.29787942426955161</v>
      </c>
      <c r="S19" s="4">
        <f t="shared" si="14"/>
        <v>0.27332116734651052</v>
      </c>
      <c r="T19" s="4">
        <f t="shared" si="14"/>
        <v>0.25078734475789327</v>
      </c>
      <c r="U19" s="4">
        <f t="shared" si="14"/>
        <v>0.23011129712513784</v>
      </c>
      <c r="V19" s="4">
        <f t="shared" si="14"/>
        <v>0.21113987588133967</v>
      </c>
      <c r="W19" s="4">
        <f t="shared" si="14"/>
        <v>0.19373254478113611</v>
      </c>
      <c r="X19" s="4">
        <f t="shared" si="14"/>
        <v>0.1777603531788107</v>
      </c>
      <c r="Y19" s="4">
        <f t="shared" si="14"/>
        <v>0.1631049816567173</v>
      </c>
      <c r="Z19" s="4">
        <f>Y19</f>
        <v>0.1631049816567173</v>
      </c>
      <c r="AA19" s="4">
        <f t="shared" ref="AA19:AI20" si="15">Z19</f>
        <v>0.1631049816567173</v>
      </c>
      <c r="AB19" s="4">
        <f t="shared" si="15"/>
        <v>0.1631049816567173</v>
      </c>
      <c r="AC19" s="4">
        <f t="shared" si="15"/>
        <v>0.1631049816567173</v>
      </c>
      <c r="AD19" s="4">
        <f t="shared" si="15"/>
        <v>0.1631049816567173</v>
      </c>
      <c r="AE19" s="4">
        <f t="shared" si="15"/>
        <v>0.1631049816567173</v>
      </c>
      <c r="AF19" s="4">
        <f t="shared" si="15"/>
        <v>0.1631049816567173</v>
      </c>
      <c r="AG19" s="4">
        <f t="shared" si="15"/>
        <v>0.1631049816567173</v>
      </c>
      <c r="AH19" s="4">
        <f t="shared" si="15"/>
        <v>0.1631049816567173</v>
      </c>
      <c r="AI19" s="4">
        <f t="shared" si="15"/>
        <v>0.1631049816567173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105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199.30493904055479</v>
      </c>
      <c r="J22" s="8" t="s">
        <v>23</v>
      </c>
      <c r="K22" s="1">
        <f t="shared" ref="K22:AI22" ca="1" si="17">wa*flt1_*(1-EXP(-za))/za</f>
        <v>1.8354352606693378E-7</v>
      </c>
      <c r="L22" s="1">
        <f t="shared" ca="1" si="17"/>
        <v>3.0988198824275689E-6</v>
      </c>
      <c r="M22" s="1">
        <f t="shared" ca="1" si="17"/>
        <v>2.3874249427736917E-5</v>
      </c>
      <c r="N22" s="1">
        <f t="shared" ca="1" si="17"/>
        <v>1.3136357841558193E-4</v>
      </c>
      <c r="O22" s="1">
        <f t="shared" ca="1" si="17"/>
        <v>6.0640131229051963E-4</v>
      </c>
      <c r="P22" s="1">
        <f t="shared" ca="1" si="17"/>
        <v>3.4838276087143009E-3</v>
      </c>
      <c r="Q22" s="1">
        <f t="shared" ca="1" si="17"/>
        <v>4.5886955584377165E-2</v>
      </c>
      <c r="R22" s="1">
        <f t="shared" ca="1" si="17"/>
        <v>0.19236414619898412</v>
      </c>
      <c r="S22" s="1">
        <f t="shared" ca="1" si="17"/>
        <v>0.63289295529998346</v>
      </c>
      <c r="T22" s="1">
        <f t="shared" ca="1" si="17"/>
        <v>1.9337972680240225</v>
      </c>
      <c r="U22" s="1">
        <f t="shared" ca="1" si="17"/>
        <v>5.3423675385518674</v>
      </c>
      <c r="V22" s="1">
        <f t="shared" ca="1" si="17"/>
        <v>12.552540914803911</v>
      </c>
      <c r="W22" s="1">
        <f t="shared" ca="1" si="17"/>
        <v>23.598121737538108</v>
      </c>
      <c r="X22" s="1">
        <f t="shared" ca="1" si="17"/>
        <v>35.502054323694935</v>
      </c>
      <c r="Y22" s="1">
        <f t="shared" ca="1" si="17"/>
        <v>45.618170642248991</v>
      </c>
      <c r="Z22" s="1">
        <f t="shared" ca="1" si="17"/>
        <v>53.631256956387404</v>
      </c>
      <c r="AA22" s="1">
        <f t="shared" ca="1" si="17"/>
        <v>60.324402895617233</v>
      </c>
      <c r="AB22" s="1">
        <f t="shared" ca="1" si="17"/>
        <v>66.294489850696522</v>
      </c>
      <c r="AC22" s="1">
        <f t="shared" ca="1" si="17"/>
        <v>71.855756200035131</v>
      </c>
      <c r="AD22" s="1">
        <f t="shared" ca="1" si="17"/>
        <v>77.14607748941728</v>
      </c>
      <c r="AE22" s="1">
        <f t="shared" ca="1" si="17"/>
        <v>82.218031834974454</v>
      </c>
      <c r="AF22" s="1">
        <f t="shared" ca="1" si="17"/>
        <v>87.087650384698762</v>
      </c>
      <c r="AG22" s="1">
        <f t="shared" ca="1" si="17"/>
        <v>91.757044092910547</v>
      </c>
      <c r="AH22" s="1">
        <f t="shared" ca="1" si="17"/>
        <v>96.22418663963083</v>
      </c>
      <c r="AI22" s="1">
        <f t="shared" ca="1" si="17"/>
        <v>100.4868796937145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8">wa*flt2_*(1-EXP(-za))/za</f>
        <v>1.8328280941922454E-4</v>
      </c>
      <c r="L23" s="1">
        <f t="shared" ca="1" si="18"/>
        <v>1.5575604477002614E-2</v>
      </c>
      <c r="M23" s="1">
        <f t="shared" ca="1" si="18"/>
        <v>0.32076305299902058</v>
      </c>
      <c r="N23" s="1">
        <f t="shared" ca="1" si="18"/>
        <v>1.1053825200457099</v>
      </c>
      <c r="O23" s="1">
        <f t="shared" ca="1" si="18"/>
        <v>1.9097831696886303</v>
      </c>
      <c r="P23" s="1">
        <f t="shared" ca="1" si="18"/>
        <v>2.7719391839874765</v>
      </c>
      <c r="Q23" s="1">
        <f t="shared" ca="1" si="18"/>
        <v>3.6694500360481861</v>
      </c>
      <c r="R23" s="1">
        <f t="shared" ca="1" si="18"/>
        <v>4.5665309271227299</v>
      </c>
      <c r="S23" s="1">
        <f t="shared" ca="1" si="18"/>
        <v>5.4398785869813908</v>
      </c>
      <c r="T23" s="1">
        <f t="shared" ca="1" si="18"/>
        <v>6.238602237288565</v>
      </c>
      <c r="U23" s="1">
        <f t="shared" ca="1" si="18"/>
        <v>6.9138899482895368</v>
      </c>
      <c r="V23" s="1">
        <f t="shared" ca="1" si="18"/>
        <v>7.4269724891835081</v>
      </c>
      <c r="W23" s="1">
        <f t="shared" ca="1" si="18"/>
        <v>7.7829445541082602</v>
      </c>
      <c r="X23" s="1">
        <f t="shared" ca="1" si="18"/>
        <v>8.0382429318853621</v>
      </c>
      <c r="Y23" s="1">
        <f t="shared" ca="1" si="18"/>
        <v>8.2339247118793235</v>
      </c>
      <c r="Z23" s="1">
        <f t="shared" ca="1" si="18"/>
        <v>9.1106120478962929</v>
      </c>
      <c r="AA23" s="1">
        <f t="shared" ca="1" si="18"/>
        <v>9.9979232747753333</v>
      </c>
      <c r="AB23" s="1">
        <f t="shared" ca="1" si="18"/>
        <v>10.88049064538084</v>
      </c>
      <c r="AC23" s="1">
        <f t="shared" ca="1" si="18"/>
        <v>11.748135332615647</v>
      </c>
      <c r="AD23" s="1">
        <f t="shared" ca="1" si="18"/>
        <v>12.594286144039009</v>
      </c>
      <c r="AE23" s="1">
        <f t="shared" ca="1" si="18"/>
        <v>13.414565054292517</v>
      </c>
      <c r="AF23" s="1">
        <f t="shared" ca="1" si="18"/>
        <v>14.205975380086537</v>
      </c>
      <c r="AG23" s="1">
        <f t="shared" ca="1" si="18"/>
        <v>14.966469718519802</v>
      </c>
      <c r="AH23" s="1">
        <f t="shared" ca="1" si="18"/>
        <v>15.694708998367139</v>
      </c>
      <c r="AI23" s="1">
        <f t="shared" ca="1" si="18"/>
        <v>16.389912578737178</v>
      </c>
      <c r="AM23" s="43"/>
    </row>
    <row r="24" spans="1:39">
      <c r="A24" t="s">
        <v>125</v>
      </c>
      <c r="B24" s="31">
        <v>0.16405328226882354</v>
      </c>
      <c r="J24" s="8" t="s">
        <v>25</v>
      </c>
      <c r="K24" s="1">
        <f t="shared" ref="K24:AI24" ca="1" si="19">wa*flt3_*(1-EXP(-za))/za</f>
        <v>1.4753917070210428E-6</v>
      </c>
      <c r="L24" s="1">
        <f t="shared" ca="1" si="19"/>
        <v>3.4777764347653044E-5</v>
      </c>
      <c r="M24" s="1">
        <f t="shared" ca="1" si="19"/>
        <v>3.7324278623463499E-4</v>
      </c>
      <c r="N24" s="1">
        <f t="shared" ca="1" si="19"/>
        <v>2.8365684807163194E-3</v>
      </c>
      <c r="O24" s="1">
        <f t="shared" ca="1" si="19"/>
        <v>1.8086514290898362E-2</v>
      </c>
      <c r="P24" s="1">
        <f t="shared" ca="1" si="19"/>
        <v>0.27015878861918879</v>
      </c>
      <c r="Q24" s="1">
        <f t="shared" ca="1" si="19"/>
        <v>5.9668786841357893</v>
      </c>
      <c r="R24" s="1">
        <f t="shared" ca="1" si="19"/>
        <v>14.405541578793656</v>
      </c>
      <c r="S24" s="1">
        <f t="shared" ca="1" si="19"/>
        <v>19.825319103089278</v>
      </c>
      <c r="T24" s="1">
        <f t="shared" ca="1" si="19"/>
        <v>23.264624746958404</v>
      </c>
      <c r="U24" s="1">
        <f t="shared" ca="1" si="19"/>
        <v>25.535144427066808</v>
      </c>
      <c r="V24" s="1">
        <f t="shared" ca="1" si="19"/>
        <v>26.939410065022162</v>
      </c>
      <c r="W24" s="1">
        <f t="shared" ca="1" si="19"/>
        <v>27.666856232144163</v>
      </c>
      <c r="X24" s="1">
        <f t="shared" ca="1" si="19"/>
        <v>27.988869885650569</v>
      </c>
      <c r="Y24" s="1">
        <f t="shared" ca="1" si="19"/>
        <v>28.078990541985856</v>
      </c>
      <c r="Z24" s="1">
        <f t="shared" ca="1" si="19"/>
        <v>31.068633546710483</v>
      </c>
      <c r="AA24" s="1">
        <f t="shared" ca="1" si="19"/>
        <v>34.09450570599671</v>
      </c>
      <c r="AB24" s="1">
        <f t="shared" ca="1" si="19"/>
        <v>37.104200562222942</v>
      </c>
      <c r="AC24" s="1">
        <f t="shared" ca="1" si="19"/>
        <v>40.063006698927332</v>
      </c>
      <c r="AD24" s="1">
        <f t="shared" ca="1" si="19"/>
        <v>42.948515306599241</v>
      </c>
      <c r="AE24" s="1">
        <f t="shared" ca="1" si="19"/>
        <v>45.745796623681109</v>
      </c>
      <c r="AF24" s="1">
        <f t="shared" ca="1" si="19"/>
        <v>48.44463148438124</v>
      </c>
      <c r="AG24" s="1">
        <f t="shared" ca="1" si="19"/>
        <v>51.038037919746564</v>
      </c>
      <c r="AH24" s="1">
        <f t="shared" ca="1" si="19"/>
        <v>53.521449484299097</v>
      </c>
      <c r="AI24" s="1">
        <f t="shared" ca="1" si="19"/>
        <v>55.892204068659339</v>
      </c>
      <c r="AM24" s="44"/>
    </row>
    <row r="25" spans="1:39">
      <c r="A25" s="40"/>
      <c r="B25" s="40" t="s">
        <v>97</v>
      </c>
      <c r="C25" s="40">
        <v>2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2.6001597644860752E-6</v>
      </c>
      <c r="L26">
        <f t="shared" ref="L26:AI26" ca="1" si="20">qa1_/wa</f>
        <v>6.6608932524941257E-6</v>
      </c>
      <c r="M26">
        <f t="shared" ca="1" si="20"/>
        <v>1.6928783537018773E-5</v>
      </c>
      <c r="N26">
        <f t="shared" ca="1" si="20"/>
        <v>4.3142092897829492E-5</v>
      </c>
      <c r="O26">
        <f t="shared" ca="1" si="20"/>
        <v>1.1163370110396428E-4</v>
      </c>
      <c r="P26">
        <f t="shared" ca="1" si="20"/>
        <v>4.0623359688193449E-4</v>
      </c>
      <c r="Q26">
        <f t="shared" ca="1" si="20"/>
        <v>3.6890927156583769E-3</v>
      </c>
      <c r="R26">
        <f t="shared" ca="1" si="20"/>
        <v>1.1346265398027371E-2</v>
      </c>
      <c r="S26">
        <f t="shared" ca="1" si="20"/>
        <v>2.871655973555037E-2</v>
      </c>
      <c r="T26">
        <f t="shared" ca="1" si="20"/>
        <v>7.0056657562335672E-2</v>
      </c>
      <c r="U26">
        <f t="shared" ca="1" si="20"/>
        <v>0.15922326089808625</v>
      </c>
      <c r="V26">
        <f t="shared" ca="1" si="20"/>
        <v>0.31542010697910472</v>
      </c>
      <c r="W26">
        <f t="shared" ca="1" si="20"/>
        <v>0.51024921279810653</v>
      </c>
      <c r="X26">
        <f t="shared" ca="1" si="20"/>
        <v>0.67200749562830397</v>
      </c>
      <c r="Y26">
        <f t="shared" ca="1" si="20"/>
        <v>0.76707195663462047</v>
      </c>
      <c r="Z26">
        <f t="shared" ca="1" si="20"/>
        <v>0.81126484487225503</v>
      </c>
      <c r="AA26">
        <f t="shared" ca="1" si="20"/>
        <v>0.8298933030110669</v>
      </c>
      <c r="AB26">
        <f t="shared" ca="1" si="20"/>
        <v>0.83738301320559416</v>
      </c>
      <c r="AC26">
        <f t="shared" ca="1" si="20"/>
        <v>0.84033450342825433</v>
      </c>
      <c r="AD26">
        <f t="shared" ca="1" si="20"/>
        <v>0.84148607003937459</v>
      </c>
      <c r="AE26">
        <f t="shared" ca="1" si="20"/>
        <v>0.84193129011756451</v>
      </c>
      <c r="AF26">
        <f t="shared" ca="1" si="20"/>
        <v>0.84210046602013566</v>
      </c>
      <c r="AG26">
        <f t="shared" ca="1" si="20"/>
        <v>0.84216193706593967</v>
      </c>
      <c r="AH26">
        <f t="shared" ca="1" si="20"/>
        <v>0.84218141121706325</v>
      </c>
      <c r="AI26">
        <f t="shared" ca="1" si="20"/>
        <v>0.84218451375624426</v>
      </c>
      <c r="AM26" s="44"/>
    </row>
    <row r="27" spans="1:39">
      <c r="A27" t="s">
        <v>14</v>
      </c>
      <c r="B27" s="28">
        <f ca="1">fbar*C27</f>
        <v>0.17396215778953097</v>
      </c>
      <c r="C27" s="36">
        <f ca="1">CHOOSE(C$25,E36,E39,1)</f>
        <v>1.7867544680556318</v>
      </c>
      <c r="E27" s="42">
        <f ca="1">f1_/(F4/(f1_*365*re*phib))</f>
        <v>203.49057090281929</v>
      </c>
      <c r="J27" s="8" t="s">
        <v>31</v>
      </c>
      <c r="K27">
        <f t="shared" ref="K27:AI27" ca="1" si="21">qa2_/wa</f>
        <v>2.5964663357292469E-3</v>
      </c>
      <c r="L27">
        <f t="shared" ca="1" si="21"/>
        <v>3.3479660871128081E-2</v>
      </c>
      <c r="M27">
        <f t="shared" ca="1" si="21"/>
        <v>0.22744707880051798</v>
      </c>
      <c r="N27">
        <f t="shared" ca="1" si="21"/>
        <v>0.36302692072365339</v>
      </c>
      <c r="O27">
        <f t="shared" ca="1" si="21"/>
        <v>0.35157602600348975</v>
      </c>
      <c r="P27">
        <f t="shared" ca="1" si="21"/>
        <v>0.32322346324845136</v>
      </c>
      <c r="Q27">
        <f t="shared" ca="1" si="21"/>
        <v>0.29500630900574643</v>
      </c>
      <c r="R27">
        <f t="shared" ca="1" si="21"/>
        <v>0.26934890347933299</v>
      </c>
      <c r="S27">
        <f t="shared" ca="1" si="21"/>
        <v>0.24682625567091143</v>
      </c>
      <c r="T27">
        <f t="shared" ca="1" si="21"/>
        <v>0.22600901750778399</v>
      </c>
      <c r="U27">
        <f t="shared" ca="1" si="21"/>
        <v>0.2060607202917312</v>
      </c>
      <c r="V27">
        <f t="shared" ca="1" si="21"/>
        <v>0.18662488120682813</v>
      </c>
      <c r="W27">
        <f t="shared" ca="1" si="21"/>
        <v>0.16828633126626766</v>
      </c>
      <c r="X27">
        <f t="shared" ca="1" si="21"/>
        <v>0.15215343463386377</v>
      </c>
      <c r="Y27">
        <f t="shared" ca="1" si="21"/>
        <v>0.138453880342012</v>
      </c>
      <c r="Z27">
        <f t="shared" ca="1" si="21"/>
        <v>0.1378136498970795</v>
      </c>
      <c r="AA27">
        <f t="shared" ca="1" si="21"/>
        <v>0.13754316945518152</v>
      </c>
      <c r="AB27">
        <f t="shared" ca="1" si="21"/>
        <v>0.1374343186334748</v>
      </c>
      <c r="AC27">
        <f t="shared" ca="1" si="21"/>
        <v>0.13739140735584759</v>
      </c>
      <c r="AD27">
        <f t="shared" ca="1" si="21"/>
        <v>0.13737466242211124</v>
      </c>
      <c r="AE27">
        <f t="shared" ca="1" si="21"/>
        <v>0.1373681881025291</v>
      </c>
      <c r="AF27">
        <f t="shared" ca="1" si="21"/>
        <v>0.13736572791890722</v>
      </c>
      <c r="AG27">
        <f t="shared" ca="1" si="21"/>
        <v>0.1373648339894725</v>
      </c>
      <c r="AH27">
        <f t="shared" ca="1" si="21"/>
        <v>0.13736455078999968</v>
      </c>
      <c r="AI27">
        <f t="shared" ca="1" si="21"/>
        <v>0.13736450567182379</v>
      </c>
    </row>
    <row r="28" spans="1:39">
      <c r="A28" t="s">
        <v>15</v>
      </c>
      <c r="B28" s="28">
        <f ca="1">fbar*C28</f>
        <v>9.0874875555160273E-2</v>
      </c>
      <c r="C28" s="36">
        <f ca="1">CHOOSE(C$25,E37,E40,1)</f>
        <v>0.93337017656809929</v>
      </c>
      <c r="E28" s="42">
        <f ca="1">f2_/(F5/(f2_*365*re*phib))</f>
        <v>148.89488932595819</v>
      </c>
      <c r="J28" s="8" t="s">
        <v>32</v>
      </c>
      <c r="K28">
        <f t="shared" ref="K28:AI28" ca="1" si="22">qa3_/wa</f>
        <v>2.0901059468878002E-5</v>
      </c>
      <c r="L28">
        <f t="shared" ca="1" si="22"/>
        <v>7.4754579055637474E-5</v>
      </c>
      <c r="M28">
        <f t="shared" ca="1" si="22"/>
        <v>2.6465947564320358E-4</v>
      </c>
      <c r="N28">
        <f t="shared" ca="1" si="22"/>
        <v>9.3157861853436486E-4</v>
      </c>
      <c r="O28">
        <f t="shared" ca="1" si="22"/>
        <v>3.3295846981864982E-3</v>
      </c>
      <c r="P28">
        <f t="shared" ca="1" si="22"/>
        <v>3.1502011223380082E-2</v>
      </c>
      <c r="Q28">
        <f t="shared" ca="1" si="22"/>
        <v>0.47970863197463876</v>
      </c>
      <c r="R28">
        <f t="shared" ca="1" si="22"/>
        <v>0.84968587538260398</v>
      </c>
      <c r="S28">
        <f t="shared" ca="1" si="22"/>
        <v>0.8995438415495759</v>
      </c>
      <c r="T28">
        <f t="shared" ca="1" si="22"/>
        <v>0.84281939796062344</v>
      </c>
      <c r="U28">
        <f t="shared" ca="1" si="22"/>
        <v>0.76104628403819385</v>
      </c>
      <c r="V28">
        <f t="shared" ca="1" si="22"/>
        <v>0.67693319323436751</v>
      </c>
      <c r="W28">
        <f t="shared" ca="1" si="22"/>
        <v>0.59822522190796656</v>
      </c>
      <c r="X28">
        <f t="shared" ca="1" si="22"/>
        <v>0.52979273215660339</v>
      </c>
      <c r="Y28">
        <f t="shared" ca="1" si="22"/>
        <v>0.47214971385586962</v>
      </c>
      <c r="Z28">
        <f t="shared" ca="1" si="22"/>
        <v>0.46996642639126424</v>
      </c>
      <c r="AA28">
        <f t="shared" ca="1" si="22"/>
        <v>0.4690440451410583</v>
      </c>
      <c r="AB28">
        <f t="shared" ca="1" si="22"/>
        <v>0.4686728465571337</v>
      </c>
      <c r="AC28">
        <f t="shared" ca="1" si="22"/>
        <v>0.46852651228753567</v>
      </c>
      <c r="AD28">
        <f t="shared" ca="1" si="22"/>
        <v>0.46846940940495385</v>
      </c>
      <c r="AE28">
        <f t="shared" ca="1" si="22"/>
        <v>0.46844733094727126</v>
      </c>
      <c r="AF28">
        <f t="shared" ca="1" si="22"/>
        <v>0.46843894133052505</v>
      </c>
      <c r="AG28">
        <f t="shared" ca="1" si="22"/>
        <v>0.46843589288922616</v>
      </c>
      <c r="AH28">
        <f t="shared" ca="1" si="22"/>
        <v>0.46843492713406121</v>
      </c>
      <c r="AI28">
        <f t="shared" ca="1" si="22"/>
        <v>0.46843477327391814</v>
      </c>
    </row>
    <row r="29" spans="1:39">
      <c r="A29" t="s">
        <v>19</v>
      </c>
      <c r="B29" s="28">
        <f ca="1">fbar*C29</f>
        <v>2.7249250864529867E-2</v>
      </c>
      <c r="C29" s="36">
        <f ca="1">CHOOSE(C$25,E38,E41,1)</f>
        <v>0.27987535537626868</v>
      </c>
      <c r="E29" s="42">
        <f ca="1">f3_/(F6/(f3_*365*re*phib))</f>
        <v>17.606250828024006</v>
      </c>
    </row>
    <row r="30" spans="1:39">
      <c r="A30" t="s">
        <v>95</v>
      </c>
      <c r="B30" s="28">
        <v>9.7362094736407029E-2</v>
      </c>
      <c r="C30" s="36">
        <f ca="1">AVERAGE(C27:C29)</f>
        <v>0.99999999999999989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0.29208628420922111</v>
      </c>
      <c r="G31">
        <f ca="1">SUMPRODUCT(dlz1_,wa,ma)</f>
        <v>-69.65234706833354</v>
      </c>
      <c r="H31">
        <f ca="1">Ro/(reck-1)*phie/phif^2*dphif</f>
        <v>-8666.9092436268547</v>
      </c>
      <c r="J31" s="8" t="s">
        <v>52</v>
      </c>
      <c r="K31">
        <v>0</v>
      </c>
      <c r="L31">
        <f t="shared" ref="L31:AH31" ca="1" si="23">K31*sa-K$7*K18*K$10</f>
        <v>-2.4097060344794233E-6</v>
      </c>
      <c r="M31">
        <f t="shared" ca="1" si="23"/>
        <v>-7.331432209684556E-6</v>
      </c>
      <c r="N31">
        <f t="shared" ca="1" si="23"/>
        <v>-1.753578971439416E-5</v>
      </c>
      <c r="O31">
        <f t="shared" ca="1" si="23"/>
        <v>-3.8955781426509541E-5</v>
      </c>
      <c r="P31">
        <f t="shared" ca="1" si="23"/>
        <v>-8.4840209421988791E-5</v>
      </c>
      <c r="Q31">
        <f t="shared" ca="1" si="23"/>
        <v>-2.2846948079061836E-4</v>
      </c>
      <c r="R31">
        <f t="shared" ca="1" si="23"/>
        <v>-1.3785620962945384E-3</v>
      </c>
      <c r="S31">
        <f t="shared" ca="1" si="23"/>
        <v>-4.1231621556403657E-3</v>
      </c>
      <c r="T31">
        <f t="shared" ca="1" si="23"/>
        <v>-9.5200447033060576E-3</v>
      </c>
      <c r="U31">
        <f t="shared" ca="1" si="23"/>
        <v>-1.9833779655238269E-2</v>
      </c>
      <c r="V31">
        <f t="shared" ca="1" si="23"/>
        <v>-3.7754291835089722E-2</v>
      </c>
      <c r="W31">
        <f t="shared" ca="1" si="23"/>
        <v>-6.3135603175425575E-2</v>
      </c>
      <c r="X31">
        <f t="shared" ca="1" si="23"/>
        <v>-8.8843966701762714E-2</v>
      </c>
      <c r="Y31">
        <f t="shared" ca="1" si="23"/>
        <v>-0.10514576315488297</v>
      </c>
      <c r="Z31">
        <f t="shared" ca="1" si="23"/>
        <v>-0.10860095061295882</v>
      </c>
      <c r="AA31">
        <f t="shared" ca="1" si="23"/>
        <v>-0.10218661087088235</v>
      </c>
      <c r="AB31">
        <f t="shared" ca="1" si="23"/>
        <v>-9.0378766480407435E-2</v>
      </c>
      <c r="AC31">
        <f t="shared" ca="1" si="23"/>
        <v>-7.6645033106939209E-2</v>
      </c>
      <c r="AD31">
        <f t="shared" ca="1" si="23"/>
        <v>-6.3097699954956593E-2</v>
      </c>
      <c r="AE31">
        <f t="shared" ca="1" si="23"/>
        <v>-5.0823989527785059E-2</v>
      </c>
      <c r="AF31">
        <f t="shared" ca="1" si="23"/>
        <v>-4.026279971242986E-2</v>
      </c>
      <c r="AG31">
        <f t="shared" ca="1" si="23"/>
        <v>-3.1482376124028322E-2</v>
      </c>
      <c r="AH31">
        <f t="shared" ca="1" si="23"/>
        <v>-2.4359156175522624E-2</v>
      </c>
      <c r="AI31">
        <f ca="1">(AH31*sa-AH$7*AH18*AH$10)/oa-AH$7*AH$10*flt1_*sa/oa^2</f>
        <v>-7.5222906925897115E-2</v>
      </c>
    </row>
    <row r="32" spans="1:39">
      <c r="A32" s="12" t="s">
        <v>22</v>
      </c>
      <c r="B32" s="12"/>
      <c r="C32" s="12"/>
      <c r="G32">
        <f ca="1">SUMPRODUCT(dlz2_,wa,ma)</f>
        <v>-81.357792546703919</v>
      </c>
      <c r="H32">
        <f ca="1">Ro/(reck-1)*phie/phif^2*dphif</f>
        <v>-10123.429201493158</v>
      </c>
      <c r="J32" s="8" t="s">
        <v>53</v>
      </c>
      <c r="K32">
        <v>0</v>
      </c>
      <c r="L32">
        <f t="shared" ref="L32:AH32" ca="1" si="24">K32*sa-K$7*K19*K$10</f>
        <v>-2.4062831380540538E-3</v>
      </c>
      <c r="M32">
        <f t="shared" ca="1" si="24"/>
        <v>-2.8682258785593495E-2</v>
      </c>
      <c r="N32">
        <f t="shared" ca="1" si="24"/>
        <v>-0.17764450357627543</v>
      </c>
      <c r="O32">
        <f t="shared" ca="1" si="24"/>
        <v>-0.35280245339049554</v>
      </c>
      <c r="P32">
        <f t="shared" ca="1" si="24"/>
        <v>-0.45879582865715329</v>
      </c>
      <c r="Q32">
        <f t="shared" ca="1" si="24"/>
        <v>-0.50388360441343971</v>
      </c>
      <c r="R32">
        <f t="shared" ca="1" si="24"/>
        <v>-0.50589948674344443</v>
      </c>
      <c r="S32">
        <f t="shared" ca="1" si="24"/>
        <v>-0.4823820506206441</v>
      </c>
      <c r="T32">
        <f t="shared" ca="1" si="24"/>
        <v>-0.44346102851392932</v>
      </c>
      <c r="U32">
        <f t="shared" ca="1" si="24"/>
        <v>-0.39357144897855467</v>
      </c>
      <c r="V32">
        <f t="shared" ca="1" si="24"/>
        <v>-0.33477240836475197</v>
      </c>
      <c r="W32">
        <f t="shared" ca="1" si="24"/>
        <v>-0.27147620559428925</v>
      </c>
      <c r="X32">
        <f t="shared" ca="1" si="24"/>
        <v>-0.21138658595464269</v>
      </c>
      <c r="Y32">
        <f t="shared" ca="1" si="24"/>
        <v>-0.16033227245061843</v>
      </c>
      <c r="Z32">
        <f t="shared" ca="1" si="24"/>
        <v>-0.11951095908105881</v>
      </c>
      <c r="AA32">
        <f t="shared" ca="1" si="24"/>
        <v>-8.8492475947059682E-2</v>
      </c>
      <c r="AB32">
        <f t="shared" ca="1" si="24"/>
        <v>-6.5259949687664229E-2</v>
      </c>
      <c r="AC32">
        <f t="shared" ca="1" si="24"/>
        <v>-4.7989301070225088E-2</v>
      </c>
      <c r="AD32">
        <f t="shared" ca="1" si="24"/>
        <v>-3.5208793455114025E-2</v>
      </c>
      <c r="AE32">
        <f t="shared" ca="1" si="24"/>
        <v>-2.5781432774552998E-2</v>
      </c>
      <c r="AF32">
        <f t="shared" ca="1" si="24"/>
        <v>-1.8845316066710319E-2</v>
      </c>
      <c r="AG32">
        <f t="shared" ca="1" si="24"/>
        <v>-1.3753342753443816E-2</v>
      </c>
      <c r="AH32">
        <f t="shared" ca="1" si="24"/>
        <v>-1.0022520009370133E-2</v>
      </c>
      <c r="AI32">
        <f ca="1">(AH32*sa-AH$7*AH19*AH$10)/oa-AH$7*AH$10*flt2_*sa/oa^2</f>
        <v>-2.6514202354066079E-2</v>
      </c>
    </row>
    <row r="33" spans="1:35">
      <c r="A33" s="59" t="s">
        <v>128</v>
      </c>
      <c r="B33" s="60">
        <f ca="1">SUMPRODUCT(lz,wa)</f>
        <v>62.059640204093519</v>
      </c>
      <c r="C33" s="59"/>
      <c r="D33" s="61"/>
      <c r="E33" s="61"/>
      <c r="G33">
        <f ca="1">SUMPRODUCT(dlz3_,wa,ma)</f>
        <v>-151.25405021277524</v>
      </c>
      <c r="H33">
        <f ca="1">Ro/(reck-1)*phie/phif^2*dphif</f>
        <v>-18820.688477863034</v>
      </c>
      <c r="J33" s="8" t="s">
        <v>54</v>
      </c>
      <c r="K33">
        <v>0</v>
      </c>
      <c r="L33">
        <f t="shared" ref="L33:AH33" ca="1" si="25">K33*sa-K$7*K20*K$10</f>
        <v>-1.9370120950672969E-5</v>
      </c>
      <c r="M33">
        <f t="shared" ca="1" si="25"/>
        <v>-7.5822131625283366E-5</v>
      </c>
      <c r="N33">
        <f t="shared" ca="1" si="25"/>
        <v>-2.4194474917227043E-4</v>
      </c>
      <c r="O33">
        <f t="shared" ca="1" si="25"/>
        <v>-7.2757552163612248E-4</v>
      </c>
      <c r="P33">
        <f t="shared" ca="1" si="25"/>
        <v>-2.1688140547062428E-3</v>
      </c>
      <c r="Q33">
        <f t="shared" ca="1" si="25"/>
        <v>-1.4086632337923904E-2</v>
      </c>
      <c r="R33">
        <f t="shared" ca="1" si="25"/>
        <v>-0.16653195631034728</v>
      </c>
      <c r="S33">
        <f t="shared" ca="1" si="25"/>
        <v>-0.36020490020254503</v>
      </c>
      <c r="T33">
        <f t="shared" ca="1" si="25"/>
        <v>-0.48516144414485662</v>
      </c>
      <c r="U33">
        <f t="shared" ca="1" si="25"/>
        <v>-0.53456484691063189</v>
      </c>
      <c r="V33">
        <f t="shared" ca="1" si="25"/>
        <v>-0.52221419503004807</v>
      </c>
      <c r="W33">
        <f t="shared" ca="1" si="25"/>
        <v>-0.46609921899312479</v>
      </c>
      <c r="X33">
        <f t="shared" ca="1" si="25"/>
        <v>-0.3889835998724851</v>
      </c>
      <c r="Y33">
        <f t="shared" ca="1" si="25"/>
        <v>-0.31054849751020513</v>
      </c>
      <c r="Z33">
        <f t="shared" ca="1" si="25"/>
        <v>-0.24059815038883045</v>
      </c>
      <c r="AA33">
        <f t="shared" ca="1" si="25"/>
        <v>-0.18426210911877311</v>
      </c>
      <c r="AB33">
        <f t="shared" ca="1" si="25"/>
        <v>-0.13997456742449865</v>
      </c>
      <c r="AC33">
        <f t="shared" ca="1" si="25"/>
        <v>-0.1056681996178868</v>
      </c>
      <c r="AD33">
        <f t="shared" ca="1" si="25"/>
        <v>-7.9361995383395584E-2</v>
      </c>
      <c r="AE33">
        <f t="shared" ca="1" si="25"/>
        <v>-5.9345228995735182E-2</v>
      </c>
      <c r="AF33">
        <f t="shared" ca="1" si="25"/>
        <v>-4.4208891663996122E-2</v>
      </c>
      <c r="AG33">
        <f t="shared" ca="1" si="25"/>
        <v>-3.2822930751738998E-2</v>
      </c>
      <c r="AH33">
        <f t="shared" ca="1" si="25"/>
        <v>-2.4296689349718043E-2</v>
      </c>
      <c r="AI33">
        <f ca="1">(AH33*sa-AH$7*AH20*AH$10)/oa-AH$7*AH$10*flt3_*sa/oa^2</f>
        <v>-6.7148562411751322E-2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27.029587048166754</v>
      </c>
      <c r="F35" s="37"/>
      <c r="G35" s="1">
        <f ca="1">SUM(dqa11_)</f>
        <v>864.8209496675297</v>
      </c>
      <c r="H35" s="1">
        <f ca="1">SUM(dqa12_)</f>
        <v>870.19353700881368</v>
      </c>
      <c r="I35" s="11">
        <f ca="1">SUM(dqa13_)</f>
        <v>866.20840536052413</v>
      </c>
      <c r="J35" s="8" t="s">
        <v>62</v>
      </c>
      <c r="K35">
        <f ca="1">flt1_*qa1_+lz*wa*flt1_^2/za*(sa-oa/za)</f>
        <v>2.6343049815246671E-13</v>
      </c>
      <c r="L35">
        <f t="shared" ref="L35:AI35" ca="1" si="26">flt1_*qa1_+lz*wa*flt1_^2/za*(sa-oa/za)</f>
        <v>1.2929248047392155E-11</v>
      </c>
      <c r="M35">
        <f t="shared" ca="1" si="26"/>
        <v>2.822796719074799E-10</v>
      </c>
      <c r="N35">
        <f t="shared" ca="1" si="26"/>
        <v>4.3417921168439351E-9</v>
      </c>
      <c r="O35">
        <f t="shared" ca="1" si="26"/>
        <v>5.5623161595399492E-8</v>
      </c>
      <c r="P35">
        <f t="shared" ca="1" si="26"/>
        <v>1.2270712712017693E-6</v>
      </c>
      <c r="Q35">
        <f t="shared" ca="1" si="26"/>
        <v>1.5412762914653437E-4</v>
      </c>
      <c r="R35">
        <f t="shared" ca="1" si="26"/>
        <v>2.0714065596845175E-3</v>
      </c>
      <c r="S35">
        <f t="shared" ca="1" si="26"/>
        <v>1.7800483942892985E-2</v>
      </c>
      <c r="T35">
        <f t="shared" ca="1" si="26"/>
        <v>0.13622675067489909</v>
      </c>
      <c r="U35">
        <f t="shared" ca="1" si="26"/>
        <v>0.87797757879632621</v>
      </c>
      <c r="V35">
        <f t="shared" ca="1" si="26"/>
        <v>4.2098230083981214</v>
      </c>
      <c r="W35">
        <f t="shared" ca="1" si="26"/>
        <v>13.217354820013572</v>
      </c>
      <c r="X35">
        <f t="shared" ca="1" si="26"/>
        <v>26.907320552746391</v>
      </c>
      <c r="Y35">
        <f t="shared" ca="1" si="26"/>
        <v>40.188561630378814</v>
      </c>
      <c r="Z35">
        <f t="shared" ca="1" si="26"/>
        <v>50.573434046226879</v>
      </c>
      <c r="AA35">
        <f t="shared" ca="1" si="26"/>
        <v>58.617291993015705</v>
      </c>
      <c r="AB35">
        <f t="shared" ca="1" si="26"/>
        <v>65.297774523815434</v>
      </c>
      <c r="AC35">
        <f t="shared" ca="1" si="26"/>
        <v>71.23645849802395</v>
      </c>
      <c r="AD35">
        <f t="shared" ca="1" si="26"/>
        <v>76.738598896667682</v>
      </c>
      <c r="AE35">
        <f t="shared" ca="1" si="26"/>
        <v>81.938227488337859</v>
      </c>
      <c r="AF35">
        <f t="shared" ca="1" si="26"/>
        <v>86.89011706806329</v>
      </c>
      <c r="AG35">
        <f t="shared" ca="1" si="26"/>
        <v>91.615262991799113</v>
      </c>
      <c r="AH35">
        <f t="shared" ca="1" si="26"/>
        <v>96.121402706147308</v>
      </c>
      <c r="AI35">
        <f t="shared" ca="1" si="26"/>
        <v>100.23508980896102</v>
      </c>
    </row>
    <row r="36" spans="1:35">
      <c r="A36" t="s">
        <v>33</v>
      </c>
      <c r="B36" s="1">
        <f ca="1">SUMPRODUCT(lz,ta1_)</f>
        <v>0.3361653205931453</v>
      </c>
      <c r="C36" s="29">
        <f ca="1">B11/(phi_t1/SUM(B$36:B$38))</f>
        <v>2.6530921148590494</v>
      </c>
      <c r="E36" s="38">
        <f ca="1">C36/AVERAGE(C$36:C$38)</f>
        <v>1.8933142738517368</v>
      </c>
      <c r="G36" s="1">
        <f ca="1">SUM(dqa21_)</f>
        <v>870.19353700881368</v>
      </c>
      <c r="H36" s="1">
        <f ca="1">SUM(dqa22_)</f>
        <v>34.576006024514662</v>
      </c>
      <c r="I36" s="11">
        <f ca="1">SUM(dqa23_)</f>
        <v>867.96493058238423</v>
      </c>
      <c r="J36" s="8" t="s">
        <v>63</v>
      </c>
      <c r="K36">
        <f t="shared" ref="K36:AI36" ca="1" si="27">flt2_*qa2_+lz*wa*flt2_^2/za*(sa-oa/za)</f>
        <v>2.6268264352995477E-7</v>
      </c>
      <c r="L36">
        <f t="shared" ca="1" si="27"/>
        <v>3.2664079238483093E-4</v>
      </c>
      <c r="M36">
        <f t="shared" ca="1" si="27"/>
        <v>5.0955237135597076E-2</v>
      </c>
      <c r="N36">
        <f t="shared" ca="1" si="27"/>
        <v>0.30742860205785533</v>
      </c>
      <c r="O36">
        <f t="shared" ca="1" si="27"/>
        <v>0.55170069219149598</v>
      </c>
      <c r="P36">
        <f t="shared" ca="1" si="27"/>
        <v>0.77682621070993119</v>
      </c>
      <c r="Q36">
        <f t="shared" ca="1" si="27"/>
        <v>0.9856074222317307</v>
      </c>
      <c r="R36">
        <f t="shared" ca="1" si="27"/>
        <v>1.1673199162175767</v>
      </c>
      <c r="S36">
        <f t="shared" ca="1" si="27"/>
        <v>1.3150725116203608</v>
      </c>
      <c r="T36">
        <f t="shared" ca="1" si="27"/>
        <v>1.41780043865482</v>
      </c>
      <c r="U36">
        <f t="shared" ca="1" si="27"/>
        <v>1.4704857640607818</v>
      </c>
      <c r="V36">
        <f t="shared" ca="1" si="27"/>
        <v>1.4737512164102284</v>
      </c>
      <c r="W36">
        <f t="shared" ca="1" si="27"/>
        <v>1.4377307034327029</v>
      </c>
      <c r="X36">
        <f t="shared" ca="1" si="27"/>
        <v>1.3793857617833987</v>
      </c>
      <c r="Y36">
        <f t="shared" ca="1" si="27"/>
        <v>1.309304062131798</v>
      </c>
      <c r="Z36">
        <f t="shared" ca="1" si="27"/>
        <v>1.4594243912376548</v>
      </c>
      <c r="AA36">
        <f t="shared" ca="1" si="27"/>
        <v>1.6101238627041514</v>
      </c>
      <c r="AB36">
        <f t="shared" ca="1" si="27"/>
        <v>1.7588972656859925</v>
      </c>
      <c r="AC36">
        <f t="shared" ca="1" si="27"/>
        <v>1.904219786573202</v>
      </c>
      <c r="AD36">
        <f t="shared" ca="1" si="27"/>
        <v>2.0451882070960754</v>
      </c>
      <c r="AE36">
        <f t="shared" ca="1" si="27"/>
        <v>2.1812508034101734</v>
      </c>
      <c r="AF36">
        <f t="shared" ca="1" si="27"/>
        <v>2.3120613335896096</v>
      </c>
      <c r="AG36">
        <f t="shared" ca="1" si="27"/>
        <v>2.4374052721136614</v>
      </c>
      <c r="AH36">
        <f t="shared" ca="1" si="27"/>
        <v>2.557161385068992</v>
      </c>
      <c r="AI36">
        <f t="shared" ca="1" si="27"/>
        <v>2.6665782749218487</v>
      </c>
    </row>
    <row r="37" spans="1:35">
      <c r="A37" t="s">
        <v>34</v>
      </c>
      <c r="B37" s="1">
        <f ca="1">SUMPRODUCT(lz,ta2_)</f>
        <v>1.1404692651449559</v>
      </c>
      <c r="C37" s="29">
        <f ca="1">B12/(phi_t2/SUM(B$36:B$38))</f>
        <v>1.2430131047585775</v>
      </c>
      <c r="E37" s="38">
        <f ca="1">C37/AVERAGE(C$36:C$38)</f>
        <v>0.8870458890754378</v>
      </c>
      <c r="G37" s="1">
        <f ca="1">SUM(dqa31_)</f>
        <v>866.20840536052413</v>
      </c>
      <c r="H37" s="1">
        <f ca="1">SUM(dqa32_)</f>
        <v>867.96493058238423</v>
      </c>
      <c r="I37" s="1">
        <f ca="1">SUM(dqa33_)</f>
        <v>384.40529011682952</v>
      </c>
      <c r="J37" s="8" t="s">
        <v>64</v>
      </c>
      <c r="K37">
        <f t="shared" ref="K37:AI37" ca="1" si="28">flt3_*qa3_+lz*wa*flt3_^2/za*(sa-oa/za)</f>
        <v>1.7021686507712022E-11</v>
      </c>
      <c r="L37">
        <f t="shared" ca="1" si="28"/>
        <v>1.6284855926273149E-9</v>
      </c>
      <c r="M37">
        <f t="shared" ca="1" si="28"/>
        <v>6.8992676890199047E-8</v>
      </c>
      <c r="N37">
        <f t="shared" ca="1" si="28"/>
        <v>2.0244433606023402E-6</v>
      </c>
      <c r="O37">
        <f t="shared" ca="1" si="28"/>
        <v>4.9481762122136053E-5</v>
      </c>
      <c r="P37">
        <f t="shared" ca="1" si="28"/>
        <v>7.3789518385348777E-3</v>
      </c>
      <c r="Q37">
        <f t="shared" ca="1" si="28"/>
        <v>2.6061320919583673</v>
      </c>
      <c r="R37">
        <f t="shared" ca="1" si="28"/>
        <v>11.616526014413793</v>
      </c>
      <c r="S37">
        <f t="shared" ca="1" si="28"/>
        <v>17.466732097628185</v>
      </c>
      <c r="T37">
        <f t="shared" ca="1" si="28"/>
        <v>19.716626832681431</v>
      </c>
      <c r="U37">
        <f t="shared" ca="1" si="28"/>
        <v>20.058226761841418</v>
      </c>
      <c r="V37">
        <f t="shared" ca="1" si="28"/>
        <v>19.389950850997913</v>
      </c>
      <c r="W37">
        <f t="shared" ca="1" si="28"/>
        <v>18.168091187907581</v>
      </c>
      <c r="X37">
        <f t="shared" ca="1" si="28"/>
        <v>16.723770942446901</v>
      </c>
      <c r="Y37">
        <f t="shared" ca="1" si="28"/>
        <v>15.226136299318622</v>
      </c>
      <c r="Z37">
        <f t="shared" ca="1" si="28"/>
        <v>16.971913050780543</v>
      </c>
      <c r="AA37">
        <f t="shared" ca="1" si="28"/>
        <v>18.724424754630419</v>
      </c>
      <c r="AB37">
        <f t="shared" ca="1" si="28"/>
        <v>20.454537855957476</v>
      </c>
      <c r="AC37">
        <f t="shared" ca="1" si="28"/>
        <v>22.144520018532102</v>
      </c>
      <c r="AD37">
        <f t="shared" ca="1" si="28"/>
        <v>23.783867551973781</v>
      </c>
      <c r="AE37">
        <f t="shared" ca="1" si="28"/>
        <v>25.366164358831991</v>
      </c>
      <c r="AF37">
        <f t="shared" ca="1" si="28"/>
        <v>26.887383928452277</v>
      </c>
      <c r="AG37">
        <f t="shared" ca="1" si="28"/>
        <v>28.345031504335616</v>
      </c>
      <c r="AH37">
        <f t="shared" ca="1" si="28"/>
        <v>29.737697235140406</v>
      </c>
      <c r="AI37">
        <f t="shared" ca="1" si="28"/>
        <v>31.01012625031856</v>
      </c>
    </row>
    <row r="38" spans="1:35">
      <c r="A38" t="s">
        <v>35</v>
      </c>
      <c r="B38" s="1">
        <f ca="1">SUMPRODUCT(lz,ta3_)</f>
        <v>1.2031745765985233</v>
      </c>
      <c r="C38" s="29">
        <f ca="1">B13/(phi_t3/SUM(B$36:B$38))</f>
        <v>0.30778023907322621</v>
      </c>
      <c r="E38" s="38">
        <f ca="1">C38/AVERAGE(C$36:C$38)</f>
        <v>0.21963983707282533</v>
      </c>
      <c r="G38" t="s">
        <v>69</v>
      </c>
      <c r="J38" s="8" t="s">
        <v>60</v>
      </c>
      <c r="K38">
        <f t="shared" ref="K38:AI38" ca="1" si="29">flt1_*qa1_+lz*wa*flt2_*flt1_/za*(sa-oa/za)</f>
        <v>-2.4969371161817453E-10</v>
      </c>
      <c r="L38">
        <f t="shared" ca="1" si="29"/>
        <v>-4.6893396516840548E-8</v>
      </c>
      <c r="M38">
        <f t="shared" ca="1" si="29"/>
        <v>-2.1189611605736061E-6</v>
      </c>
      <c r="N38">
        <f t="shared" ca="1" si="29"/>
        <v>-1.5724826365473212E-5</v>
      </c>
      <c r="O38">
        <f t="shared" ca="1" si="29"/>
        <v>-5.8285755884878949E-5</v>
      </c>
      <c r="P38">
        <f t="shared" ca="1" si="29"/>
        <v>-2.5444697606520167E-4</v>
      </c>
      <c r="Q38">
        <f t="shared" ca="1" si="29"/>
        <v>-2.385288638852037E-3</v>
      </c>
      <c r="R38">
        <f t="shared" ca="1" si="29"/>
        <v>-5.7144113852967745E-3</v>
      </c>
      <c r="S38">
        <f t="shared" ca="1" si="29"/>
        <v>1.4212339789503384E-4</v>
      </c>
      <c r="T38">
        <f t="shared" ca="1" si="29"/>
        <v>0.10483586254967345</v>
      </c>
      <c r="U38">
        <f t="shared" ca="1" si="29"/>
        <v>0.8568174318032119</v>
      </c>
      <c r="V38">
        <f t="shared" ca="1" si="29"/>
        <v>4.319907123163981</v>
      </c>
      <c r="W38">
        <f t="shared" ca="1" si="29"/>
        <v>13.649123581483069</v>
      </c>
      <c r="X38">
        <f t="shared" ca="1" si="29"/>
        <v>27.654207037699571</v>
      </c>
      <c r="Y38">
        <f t="shared" ca="1" si="29"/>
        <v>41.036012852321981</v>
      </c>
      <c r="Z38">
        <f t="shared" ca="1" si="29"/>
        <v>51.337519865437116</v>
      </c>
      <c r="AA38">
        <f t="shared" ca="1" si="29"/>
        <v>59.242562427161161</v>
      </c>
      <c r="AB38">
        <f t="shared" ca="1" si="29"/>
        <v>65.786981768944273</v>
      </c>
      <c r="AC38">
        <f t="shared" ca="1" si="29"/>
        <v>71.610715804745965</v>
      </c>
      <c r="AD38">
        <f t="shared" ca="1" si="29"/>
        <v>77.021245098421502</v>
      </c>
      <c r="AE38">
        <f t="shared" ca="1" si="29"/>
        <v>82.149840055678126</v>
      </c>
      <c r="AF38">
        <f t="shared" ca="1" si="29"/>
        <v>87.047497907403368</v>
      </c>
      <c r="AG38">
        <f t="shared" ca="1" si="29"/>
        <v>91.731667183610909</v>
      </c>
      <c r="AH38">
        <f t="shared" ca="1" si="29"/>
        <v>96.207089502237963</v>
      </c>
      <c r="AI38">
        <f t="shared" ca="1" si="29"/>
        <v>100.44580170644069</v>
      </c>
    </row>
    <row r="39" spans="1:35">
      <c r="A39" s="1" t="s">
        <v>36</v>
      </c>
      <c r="B39" s="1">
        <f ca="1">SUMPRODUCT(lz,qa1_)</f>
        <v>18.90727609959335</v>
      </c>
      <c r="C39" s="23">
        <f ca="1">B4/(phi_q1/SUM(B$39:B$41))</f>
        <v>2.1275499718935382</v>
      </c>
      <c r="D39" s="21"/>
      <c r="E39" s="39">
        <f ca="1">C39/AVERAGE(C$39:C$41)</f>
        <v>1.786754468055632</v>
      </c>
      <c r="G39" s="1">
        <f ca="1">re*phi_q1+f1_*phi_q1*$H31+f1_*re*G35</f>
        <v>1266901.8140120651</v>
      </c>
      <c r="H39" s="1">
        <f ca="1">re*phi_q1+f1_*phi_q1*$H32+f1_*re*H35</f>
        <v>1269260.1966850446</v>
      </c>
      <c r="I39" s="1">
        <f ca="1">re*phi_q1+f1_*phi_q1*$H33+f1_*re*I35</f>
        <v>1235350.7395990512</v>
      </c>
      <c r="J39" s="8" t="s">
        <v>66</v>
      </c>
      <c r="K39">
        <f t="shared" ref="K39:AI39" ca="1" si="30">flt1_*qa1_+lz*wa*flt3_*flt1_/za*(sa-oa/za)</f>
        <v>-1.5001302555421325E-12</v>
      </c>
      <c r="L39">
        <f t="shared" ca="1" si="30"/>
        <v>-8.2491676606068801E-11</v>
      </c>
      <c r="M39">
        <f t="shared" ca="1" si="30"/>
        <v>-2.0261286202838342E-9</v>
      </c>
      <c r="N39">
        <f t="shared" ca="1" si="30"/>
        <v>-3.415680845918217E-8</v>
      </c>
      <c r="O39">
        <f t="shared" ca="1" si="30"/>
        <v>-4.785410467442279E-7</v>
      </c>
      <c r="P39">
        <f t="shared" ca="1" si="30"/>
        <v>-2.3401054462423891E-5</v>
      </c>
      <c r="Q39">
        <f t="shared" ca="1" si="30"/>
        <v>-3.9953413836142093E-3</v>
      </c>
      <c r="R39">
        <f t="shared" ca="1" si="30"/>
        <v>-2.3227402894153693E-2</v>
      </c>
      <c r="S39">
        <f t="shared" ca="1" si="30"/>
        <v>-5.270248956659207E-2</v>
      </c>
      <c r="T39">
        <f t="shared" ca="1" si="30"/>
        <v>-1.9318883515380025E-2</v>
      </c>
      <c r="U39">
        <f t="shared" ca="1" si="30"/>
        <v>0.60608700662722637</v>
      </c>
      <c r="V39">
        <f t="shared" ca="1" si="30"/>
        <v>3.9008298152261212</v>
      </c>
      <c r="W39">
        <f t="shared" ca="1" si="30"/>
        <v>13.106274657388212</v>
      </c>
      <c r="X39">
        <f t="shared" ca="1" si="30"/>
        <v>27.111643828772433</v>
      </c>
      <c r="Y39">
        <f t="shared" ca="1" si="30"/>
        <v>40.58615155731043</v>
      </c>
      <c r="Z39">
        <f t="shared" ca="1" si="30"/>
        <v>50.960665197683696</v>
      </c>
      <c r="AA39">
        <f t="shared" ca="1" si="30"/>
        <v>58.943179663421184</v>
      </c>
      <c r="AB39">
        <f t="shared" ca="1" si="30"/>
        <v>65.555472961252121</v>
      </c>
      <c r="AC39">
        <f t="shared" ca="1" si="30"/>
        <v>71.434414574638893</v>
      </c>
      <c r="AD39">
        <f t="shared" ca="1" si="30"/>
        <v>76.888336198433606</v>
      </c>
      <c r="AE39">
        <f t="shared" ca="1" si="30"/>
        <v>82.050401826213914</v>
      </c>
      <c r="AF39">
        <f t="shared" ca="1" si="30"/>
        <v>86.973562882786695</v>
      </c>
      <c r="AG39">
        <f t="shared" ca="1" si="30"/>
        <v>91.676987533431756</v>
      </c>
      <c r="AH39">
        <f t="shared" ca="1" si="30"/>
        <v>96.16684023831958</v>
      </c>
      <c r="AI39">
        <f t="shared" ca="1" si="30"/>
        <v>100.34682545224051</v>
      </c>
    </row>
    <row r="40" spans="1:35">
      <c r="A40" s="1" t="s">
        <v>37</v>
      </c>
      <c r="B40" s="1">
        <f ca="1">SUMPRODUCT(lz,qa2_)</f>
        <v>13.498406677458989</v>
      </c>
      <c r="C40" s="23">
        <f ca="1">B5/(phi_q2/SUM(B$39:B$41))</f>
        <v>1.1113959575456891</v>
      </c>
      <c r="D40" s="21"/>
      <c r="E40" s="39">
        <f ca="1">C40/AVERAGE(C$39:C$41)</f>
        <v>0.93337017656809973</v>
      </c>
      <c r="G40" s="1">
        <f ca="1">re*phi_q1+f1_*phi_q1*$H32+f1_*re*G36</f>
        <v>1269260.1966850446</v>
      </c>
      <c r="H40" s="1">
        <f ca="1">re*phi_q2+f2_*phi_q2*$H32+f2_*re*H36</f>
        <v>114867.49847718954</v>
      </c>
      <c r="I40" s="1">
        <f ca="1">re*phi_q3+f3_*phi_q3*$H33+f3_*re*I36</f>
        <v>425187.88270645367</v>
      </c>
      <c r="J40" s="8" t="s">
        <v>65</v>
      </c>
      <c r="K40">
        <f t="shared" ref="K40:AI40" ca="1" si="31">flt1_*qa1_+lz*wa*flt1_*flt2_/za*(sa-oa/za)</f>
        <v>-2.4969371161817453E-10</v>
      </c>
      <c r="L40">
        <f t="shared" ca="1" si="31"/>
        <v>-4.6893396516840541E-8</v>
      </c>
      <c r="M40">
        <f t="shared" ca="1" si="31"/>
        <v>-2.1189611605736066E-6</v>
      </c>
      <c r="N40">
        <f t="shared" ca="1" si="31"/>
        <v>-1.5724826365473219E-5</v>
      </c>
      <c r="O40">
        <f t="shared" ca="1" si="31"/>
        <v>-5.8285755884878949E-5</v>
      </c>
      <c r="P40">
        <f t="shared" ca="1" si="31"/>
        <v>-2.5444697606520167E-4</v>
      </c>
      <c r="Q40">
        <f t="shared" ca="1" si="31"/>
        <v>-2.385288638852037E-3</v>
      </c>
      <c r="R40">
        <f t="shared" ca="1" si="31"/>
        <v>-5.7144113852967745E-3</v>
      </c>
      <c r="S40">
        <f t="shared" ca="1" si="31"/>
        <v>1.4212339789503384E-4</v>
      </c>
      <c r="T40">
        <f t="shared" ca="1" si="31"/>
        <v>0.10483586254967345</v>
      </c>
      <c r="U40">
        <f t="shared" ca="1" si="31"/>
        <v>0.8568174318032119</v>
      </c>
      <c r="V40">
        <f t="shared" ca="1" si="31"/>
        <v>4.319907123163981</v>
      </c>
      <c r="W40">
        <f t="shared" ca="1" si="31"/>
        <v>13.649123581483069</v>
      </c>
      <c r="X40">
        <f t="shared" ca="1" si="31"/>
        <v>27.654207037699571</v>
      </c>
      <c r="Y40">
        <f t="shared" ca="1" si="31"/>
        <v>41.036012852321981</v>
      </c>
      <c r="Z40">
        <f t="shared" ca="1" si="31"/>
        <v>51.337519865437116</v>
      </c>
      <c r="AA40">
        <f t="shared" ca="1" si="31"/>
        <v>59.242562427161161</v>
      </c>
      <c r="AB40">
        <f t="shared" ca="1" si="31"/>
        <v>65.786981768944273</v>
      </c>
      <c r="AC40">
        <f t="shared" ca="1" si="31"/>
        <v>71.610715804745965</v>
      </c>
      <c r="AD40">
        <f t="shared" ca="1" si="31"/>
        <v>77.021245098421502</v>
      </c>
      <c r="AE40">
        <f t="shared" ca="1" si="31"/>
        <v>82.149840055678126</v>
      </c>
      <c r="AF40">
        <f t="shared" ca="1" si="31"/>
        <v>87.047497907403368</v>
      </c>
      <c r="AG40">
        <f t="shared" ca="1" si="31"/>
        <v>91.731667183610909</v>
      </c>
      <c r="AH40">
        <f t="shared" ca="1" si="31"/>
        <v>96.207089502237963</v>
      </c>
      <c r="AI40">
        <f t="shared" ca="1" si="31"/>
        <v>100.44580170644069</v>
      </c>
    </row>
    <row r="41" spans="1:35">
      <c r="A41" s="1" t="s">
        <v>38</v>
      </c>
      <c r="B41" s="1">
        <f ca="1">SUMPRODUCT(lz,qa3_)</f>
        <v>34.229941182212322</v>
      </c>
      <c r="C41" s="23">
        <f ca="1">B6/(phi_q3/SUM(B$39:B$41))</f>
        <v>0.33325720747319548</v>
      </c>
      <c r="D41" s="21"/>
      <c r="E41" s="39">
        <f ca="1">C41/AVERAGE(C$39:C$41)</f>
        <v>0.27987535537626879</v>
      </c>
      <c r="G41" s="1">
        <f ca="1">re*phi_q1+f1_*phi_q1*$H33+f1_*re*G37</f>
        <v>1235350.7395990512</v>
      </c>
      <c r="H41" s="1">
        <f ca="1">re*phi_q3+f3_*phi_q3*$H33+f3_*re*H37</f>
        <v>425187.88270645367</v>
      </c>
      <c r="I41" s="1">
        <f ca="1">re*phi_q3+f1_*phi_q3*$H33+f3_*re*I37</f>
        <v>229880.86378892866</v>
      </c>
      <c r="J41" s="8" t="s">
        <v>67</v>
      </c>
      <c r="K41">
        <f t="shared" ref="K41:AI41" ca="1" si="32">flt1_*qa1_+lz*wa*flt3_*flt2_/za*(sa-oa/za)</f>
        <v>-2.010749393858675E-9</v>
      </c>
      <c r="L41">
        <f t="shared" ca="1" si="32"/>
        <v>-5.2650777799805098E-7</v>
      </c>
      <c r="M41">
        <f t="shared" ca="1" si="32"/>
        <v>-3.3133636349117527E-5</v>
      </c>
      <c r="N41">
        <f t="shared" ca="1" si="32"/>
        <v>-3.3967824356252751E-4</v>
      </c>
      <c r="O41">
        <f t="shared" ca="1" si="32"/>
        <v>-1.7405674301836573E-3</v>
      </c>
      <c r="P41">
        <f t="shared" ca="1" si="32"/>
        <v>-1.9850039645015125E-2</v>
      </c>
      <c r="Q41">
        <f t="shared" ca="1" si="32"/>
        <v>-0.33420658784135854</v>
      </c>
      <c r="R41">
        <f t="shared" ca="1" si="32"/>
        <v>-0.60628264654297293</v>
      </c>
      <c r="S41">
        <f t="shared" ca="1" si="32"/>
        <v>-0.60584916264980082</v>
      </c>
      <c r="T41">
        <f t="shared" ca="1" si="32"/>
        <v>-0.39696820838662339</v>
      </c>
      <c r="U41">
        <f t="shared" ca="1" si="32"/>
        <v>0.50494693985570627</v>
      </c>
      <c r="V41">
        <f t="shared" ca="1" si="32"/>
        <v>4.1370848594797476</v>
      </c>
      <c r="W41">
        <f t="shared" ca="1" si="32"/>
        <v>13.612488006991592</v>
      </c>
      <c r="X41">
        <f t="shared" ca="1" si="32"/>
        <v>27.700469152966512</v>
      </c>
      <c r="Y41">
        <f t="shared" ca="1" si="32"/>
        <v>41.107776482438368</v>
      </c>
      <c r="Z41">
        <f t="shared" ca="1" si="32"/>
        <v>51.403300773698355</v>
      </c>
      <c r="AA41">
        <f t="shared" ca="1" si="32"/>
        <v>59.296573735495983</v>
      </c>
      <c r="AB41">
        <f t="shared" ca="1" si="32"/>
        <v>65.829276165419358</v>
      </c>
      <c r="AC41">
        <f t="shared" ca="1" si="32"/>
        <v>71.643080849677261</v>
      </c>
      <c r="AD41">
        <f t="shared" ca="1" si="32"/>
        <v>77.045690079764</v>
      </c>
      <c r="AE41">
        <f t="shared" ca="1" si="32"/>
        <v>82.168142244617414</v>
      </c>
      <c r="AF41">
        <f t="shared" ca="1" si="32"/>
        <v>87.061109816603988</v>
      </c>
      <c r="AG41">
        <f t="shared" ca="1" si="32"/>
        <v>91.741735058969866</v>
      </c>
      <c r="AH41">
        <f t="shared" ca="1" si="32"/>
        <v>96.214500620689066</v>
      </c>
      <c r="AI41">
        <f t="shared" ca="1" si="32"/>
        <v>100.46402634861151</v>
      </c>
    </row>
    <row r="42" spans="1:35">
      <c r="A42" s="1" t="s">
        <v>96</v>
      </c>
      <c r="B42" s="1">
        <f ca="1">SUMPRODUCT(lz/SUM(lz),len,ta1_)</f>
        <v>7.643139677380046</v>
      </c>
      <c r="J42" s="8" t="s">
        <v>68</v>
      </c>
      <c r="K42">
        <f t="shared" ref="K42:AI42" ca="1" si="33">flt1_*qa1_+lz*wa*flt1_*flt3_/za*(sa-oa/za)</f>
        <v>-1.5001302555421325E-12</v>
      </c>
      <c r="L42">
        <f t="shared" ca="1" si="33"/>
        <v>-8.2491676606068801E-11</v>
      </c>
      <c r="M42">
        <f t="shared" ca="1" si="33"/>
        <v>-2.0261286202838342E-9</v>
      </c>
      <c r="N42">
        <f t="shared" ca="1" si="33"/>
        <v>-3.415680845918217E-8</v>
      </c>
      <c r="O42">
        <f t="shared" ca="1" si="33"/>
        <v>-4.785410467442279E-7</v>
      </c>
      <c r="P42">
        <f t="shared" ca="1" si="33"/>
        <v>-2.3401054462423898E-5</v>
      </c>
      <c r="Q42">
        <f t="shared" ca="1" si="33"/>
        <v>-3.9953413836142093E-3</v>
      </c>
      <c r="R42">
        <f t="shared" ca="1" si="33"/>
        <v>-2.3227402894153693E-2</v>
      </c>
      <c r="S42">
        <f t="shared" ca="1" si="33"/>
        <v>-5.270248956659207E-2</v>
      </c>
      <c r="T42">
        <f t="shared" ca="1" si="33"/>
        <v>-1.9318883515380025E-2</v>
      </c>
      <c r="U42">
        <f t="shared" ca="1" si="33"/>
        <v>0.60608700662722637</v>
      </c>
      <c r="V42">
        <f t="shared" ca="1" si="33"/>
        <v>3.9008298152261212</v>
      </c>
      <c r="W42">
        <f t="shared" ca="1" si="33"/>
        <v>13.106274657388212</v>
      </c>
      <c r="X42">
        <f t="shared" ca="1" si="33"/>
        <v>27.111643828772433</v>
      </c>
      <c r="Y42">
        <f t="shared" ca="1" si="33"/>
        <v>40.58615155731043</v>
      </c>
      <c r="Z42">
        <f t="shared" ca="1" si="33"/>
        <v>50.960665197683696</v>
      </c>
      <c r="AA42">
        <f t="shared" ca="1" si="33"/>
        <v>58.943179663421184</v>
      </c>
      <c r="AB42">
        <f t="shared" ca="1" si="33"/>
        <v>65.555472961252121</v>
      </c>
      <c r="AC42">
        <f t="shared" ca="1" si="33"/>
        <v>71.434414574638893</v>
      </c>
      <c r="AD42">
        <f t="shared" ca="1" si="33"/>
        <v>76.888336198433606</v>
      </c>
      <c r="AE42">
        <f t="shared" ca="1" si="33"/>
        <v>82.050401826213914</v>
      </c>
      <c r="AF42">
        <f t="shared" ca="1" si="33"/>
        <v>86.973562882786695</v>
      </c>
      <c r="AG42">
        <f t="shared" ca="1" si="33"/>
        <v>91.676987533431756</v>
      </c>
      <c r="AH42">
        <f t="shared" ca="1" si="33"/>
        <v>96.16684023831958</v>
      </c>
      <c r="AI42">
        <f t="shared" ca="1" si="33"/>
        <v>100.34682545224051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-2.010749393858675E-9</v>
      </c>
      <c r="L43">
        <f t="shared" ca="1" si="34"/>
        <v>-5.2650777799805098E-7</v>
      </c>
      <c r="M43">
        <f t="shared" ca="1" si="34"/>
        <v>-3.3133636349117513E-5</v>
      </c>
      <c r="N43">
        <f t="shared" ca="1" si="34"/>
        <v>-3.3967824356252751E-4</v>
      </c>
      <c r="O43">
        <f t="shared" ca="1" si="34"/>
        <v>-1.7405674301836573E-3</v>
      </c>
      <c r="P43">
        <f t="shared" ca="1" si="34"/>
        <v>-1.9850039645015125E-2</v>
      </c>
      <c r="Q43">
        <f t="shared" ca="1" si="34"/>
        <v>-0.33420658784135854</v>
      </c>
      <c r="R43">
        <f t="shared" ca="1" si="34"/>
        <v>-0.60628264654297293</v>
      </c>
      <c r="S43">
        <f t="shared" ca="1" si="34"/>
        <v>-0.60584916264980082</v>
      </c>
      <c r="T43">
        <f t="shared" ca="1" si="34"/>
        <v>-0.39696820838662339</v>
      </c>
      <c r="U43">
        <f t="shared" ca="1" si="34"/>
        <v>0.50494693985570627</v>
      </c>
      <c r="V43">
        <f t="shared" ca="1" si="34"/>
        <v>4.1370848594797476</v>
      </c>
      <c r="W43">
        <f t="shared" ca="1" si="34"/>
        <v>13.612488006991592</v>
      </c>
      <c r="X43">
        <f t="shared" ca="1" si="34"/>
        <v>27.700469152966512</v>
      </c>
      <c r="Y43">
        <f t="shared" ca="1" si="34"/>
        <v>41.107776482438368</v>
      </c>
      <c r="Z43">
        <f t="shared" ca="1" si="34"/>
        <v>51.403300773698355</v>
      </c>
      <c r="AA43">
        <f t="shared" ca="1" si="34"/>
        <v>59.296573735495983</v>
      </c>
      <c r="AB43">
        <f t="shared" ca="1" si="34"/>
        <v>65.829276165419358</v>
      </c>
      <c r="AC43">
        <f t="shared" ca="1" si="34"/>
        <v>71.643080849677261</v>
      </c>
      <c r="AD43">
        <f t="shared" ca="1" si="34"/>
        <v>77.045690079764</v>
      </c>
      <c r="AE43">
        <f t="shared" ca="1" si="34"/>
        <v>82.168142244617414</v>
      </c>
      <c r="AF43">
        <f t="shared" ca="1" si="34"/>
        <v>87.061109816603988</v>
      </c>
      <c r="AG43">
        <f t="shared" ca="1" si="34"/>
        <v>91.741735058969866</v>
      </c>
      <c r="AH43">
        <f t="shared" ca="1" si="34"/>
        <v>96.214500620689066</v>
      </c>
      <c r="AI43">
        <f t="shared" ca="1" si="34"/>
        <v>100.46402634861151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0.27285711515452371</v>
      </c>
      <c r="G46" s="32" t="s">
        <v>94</v>
      </c>
      <c r="H46" s="32"/>
      <c r="I46" s="32"/>
      <c r="J46" s="8" t="s">
        <v>75</v>
      </c>
      <c r="K46">
        <f t="shared" ref="K46:AI46" ca="1" si="35">lz*qa1_</f>
        <v>1.8354352606693378E-7</v>
      </c>
      <c r="L46">
        <f t="shared" ca="1" si="35"/>
        <v>2.6664983477610746E-6</v>
      </c>
      <c r="M46">
        <f t="shared" ca="1" si="35"/>
        <v>1.7623974809245854E-5</v>
      </c>
      <c r="N46">
        <f t="shared" ca="1" si="35"/>
        <v>8.1606933667663072E-5</v>
      </c>
      <c r="O46">
        <f t="shared" ca="1" si="35"/>
        <v>3.1271579262890411E-4</v>
      </c>
      <c r="P46">
        <f t="shared" ca="1" si="35"/>
        <v>1.492967660859493E-3</v>
      </c>
      <c r="Q46">
        <f t="shared" ca="1" si="35"/>
        <v>1.6373324414548609E-2</v>
      </c>
      <c r="R46">
        <f t="shared" ca="1" si="35"/>
        <v>5.6501668654723058E-2</v>
      </c>
      <c r="S46">
        <f t="shared" ca="1" si="35"/>
        <v>0.15146019566568297</v>
      </c>
      <c r="T46">
        <f t="shared" ca="1" si="35"/>
        <v>0.37606029096735538</v>
      </c>
      <c r="U46">
        <f t="shared" ca="1" si="35"/>
        <v>0.84061615131163436</v>
      </c>
      <c r="V46">
        <f t="shared" ca="1" si="35"/>
        <v>1.5771708006186469</v>
      </c>
      <c r="W46">
        <f t="shared" ca="1" si="35"/>
        <v>2.3042179045303928</v>
      </c>
      <c r="X46">
        <f t="shared" ca="1" si="35"/>
        <v>2.5976505540647747</v>
      </c>
      <c r="Y46">
        <f t="shared" ca="1" si="35"/>
        <v>2.4247405660693691</v>
      </c>
      <c r="Z46">
        <f t="shared" ca="1" si="35"/>
        <v>2.0347475406948763</v>
      </c>
      <c r="AA46">
        <f t="shared" ca="1" si="35"/>
        <v>1.6176405655032857</v>
      </c>
      <c r="AB46">
        <f t="shared" ca="1" si="35"/>
        <v>1.2512706765645436</v>
      </c>
      <c r="AC46">
        <f t="shared" ca="1" si="35"/>
        <v>0.95299319720796505</v>
      </c>
      <c r="AD46">
        <f t="shared" ca="1" si="35"/>
        <v>0.71846946723045269</v>
      </c>
      <c r="AE46">
        <f t="shared" ca="1" si="35"/>
        <v>0.53754557442800555</v>
      </c>
      <c r="AF46">
        <f t="shared" ca="1" si="35"/>
        <v>0.39968241281523448</v>
      </c>
      <c r="AG46">
        <f t="shared" ca="1" si="35"/>
        <v>0.29559126839432431</v>
      </c>
      <c r="AH46">
        <f t="shared" ca="1" si="35"/>
        <v>0.21758259440119102</v>
      </c>
      <c r="AI46">
        <f t="shared" ca="1" si="35"/>
        <v>0.53505358165250649</v>
      </c>
    </row>
    <row r="47" spans="1:35" ht="19" thickTop="1">
      <c r="A47" s="1" t="s">
        <v>41</v>
      </c>
      <c r="B47" s="11">
        <f ca="1">MAX(0,Ro*(reck-1/spr)/(reck-1))</f>
        <v>7649.1444787437295</v>
      </c>
      <c r="F47" t="s">
        <v>84</v>
      </c>
      <c r="G47" s="31">
        <f ca="1">G39/G53</f>
        <v>0.99999999999999967</v>
      </c>
      <c r="H47" s="31">
        <f ca="1">H53/H39</f>
        <v>0.30055184591339013</v>
      </c>
      <c r="I47" s="31">
        <f ca="1">I53/I39</f>
        <v>0.4368502711303302</v>
      </c>
      <c r="J47" s="8" t="s">
        <v>76</v>
      </c>
      <c r="K47">
        <f t="shared" ref="K47:AI47" ca="1" si="36">lz*qa2_</f>
        <v>1.8328280941922454E-4</v>
      </c>
      <c r="L47">
        <f t="shared" ca="1" si="36"/>
        <v>1.3402625896014219E-2</v>
      </c>
      <c r="M47">
        <f t="shared" ca="1" si="36"/>
        <v>0.23678733787642267</v>
      </c>
      <c r="N47">
        <f t="shared" ca="1" si="36"/>
        <v>0.68669625994342154</v>
      </c>
      <c r="O47">
        <f t="shared" ca="1" si="36"/>
        <v>0.98485828700251932</v>
      </c>
      <c r="P47">
        <f t="shared" ca="1" si="36"/>
        <v>1.1878933243455831</v>
      </c>
      <c r="Q47">
        <f t="shared" ca="1" si="36"/>
        <v>1.309328437636631</v>
      </c>
      <c r="R47">
        <f t="shared" ca="1" si="36"/>
        <v>1.3412926600102384</v>
      </c>
      <c r="S47">
        <f t="shared" ca="1" si="36"/>
        <v>1.3018395421880311</v>
      </c>
      <c r="T47">
        <f t="shared" ca="1" si="36"/>
        <v>1.2132039957743843</v>
      </c>
      <c r="U47">
        <f t="shared" ca="1" si="36"/>
        <v>1.0878936196326843</v>
      </c>
      <c r="V47">
        <f t="shared" ca="1" si="36"/>
        <v>0.93316598021391128</v>
      </c>
      <c r="W47">
        <f t="shared" ca="1" si="36"/>
        <v>0.7599587963399711</v>
      </c>
      <c r="X47">
        <f t="shared" ca="1" si="36"/>
        <v>0.58815036491516737</v>
      </c>
      <c r="Y47">
        <f t="shared" ca="1" si="36"/>
        <v>0.43765742873442309</v>
      </c>
      <c r="Z47">
        <f t="shared" ca="1" si="36"/>
        <v>0.34565282469058872</v>
      </c>
      <c r="AA47">
        <f t="shared" ca="1" si="36"/>
        <v>0.26810122411076626</v>
      </c>
      <c r="AB47">
        <f t="shared" ca="1" si="36"/>
        <v>0.20536305388066625</v>
      </c>
      <c r="AC47">
        <f t="shared" ca="1" si="36"/>
        <v>0.15581066352838371</v>
      </c>
      <c r="AD47">
        <f t="shared" ca="1" si="36"/>
        <v>0.11729190064519932</v>
      </c>
      <c r="AE47">
        <f t="shared" ca="1" si="36"/>
        <v>8.7705092385148564E-2</v>
      </c>
      <c r="AF47">
        <f t="shared" ca="1" si="36"/>
        <v>6.5197286770575263E-2</v>
      </c>
      <c r="AG47">
        <f t="shared" ca="1" si="36"/>
        <v>4.8213821742153572E-2</v>
      </c>
      <c r="AH47">
        <f t="shared" ca="1" si="36"/>
        <v>3.5488951598266698E-2</v>
      </c>
      <c r="AI47">
        <f t="shared" ca="1" si="36"/>
        <v>8.7269914788421193E-2</v>
      </c>
    </row>
    <row r="48" spans="1:35">
      <c r="A48" s="1" t="s">
        <v>43</v>
      </c>
      <c r="B48" s="1">
        <f ca="1">f1_*re*phi_q1</f>
        <v>25159.187755579733</v>
      </c>
      <c r="C48" s="20">
        <f ca="1">ye_1/SUM(ye_1,ye_2,ye_3)</f>
        <v>0.60367371601208464</v>
      </c>
      <c r="F48" t="s">
        <v>85</v>
      </c>
      <c r="G48" s="31">
        <f ca="1">G40/G54</f>
        <v>3.3272129703976927</v>
      </c>
      <c r="H48" s="31">
        <f t="shared" ref="H48:I49" ca="1" si="37">H40/H54</f>
        <v>0.99999999999999989</v>
      </c>
      <c r="I48" s="31">
        <f ca="1">I54/I40</f>
        <v>0.38218101776163277</v>
      </c>
      <c r="J48" s="8" t="s">
        <v>77</v>
      </c>
      <c r="K48">
        <f t="shared" ref="K48:AI48" ca="1" si="38">lz*qa3_</f>
        <v>1.4753917070210428E-6</v>
      </c>
      <c r="L48">
        <f t="shared" ca="1" si="38"/>
        <v>2.9925860388888999E-5</v>
      </c>
      <c r="M48">
        <f t="shared" ca="1" si="38"/>
        <v>2.7552788548358085E-4</v>
      </c>
      <c r="N48">
        <f t="shared" ca="1" si="38"/>
        <v>1.7621600952227306E-3</v>
      </c>
      <c r="O48">
        <f t="shared" ca="1" si="38"/>
        <v>9.3270554296930527E-3</v>
      </c>
      <c r="P48">
        <f t="shared" ca="1" si="38"/>
        <v>0.11577448140560423</v>
      </c>
      <c r="Q48">
        <f t="shared" ca="1" si="38"/>
        <v>2.1290939700273483</v>
      </c>
      <c r="R48">
        <f t="shared" ca="1" si="38"/>
        <v>4.2312309916364947</v>
      </c>
      <c r="S48">
        <f t="shared" ca="1" si="38"/>
        <v>4.7444780121864989</v>
      </c>
      <c r="T48">
        <f t="shared" ca="1" si="38"/>
        <v>4.5242082488446407</v>
      </c>
      <c r="U48">
        <f t="shared" ca="1" si="38"/>
        <v>4.0179292563772435</v>
      </c>
      <c r="V48">
        <f t="shared" ca="1" si="38"/>
        <v>3.3848167656905632</v>
      </c>
      <c r="W48">
        <f t="shared" ca="1" si="38"/>
        <v>2.7015059164969659</v>
      </c>
      <c r="X48">
        <f t="shared" ca="1" si="38"/>
        <v>2.0479182050482585</v>
      </c>
      <c r="Y48">
        <f t="shared" ca="1" si="38"/>
        <v>1.4924813174856999</v>
      </c>
      <c r="Z48">
        <f t="shared" ca="1" si="38"/>
        <v>1.1787310104129576</v>
      </c>
      <c r="AA48">
        <f t="shared" ca="1" si="38"/>
        <v>0.91426773981065856</v>
      </c>
      <c r="AB48">
        <f t="shared" ca="1" si="38"/>
        <v>0.70032061858292483</v>
      </c>
      <c r="AC48">
        <f t="shared" ca="1" si="38"/>
        <v>0.53133910020358555</v>
      </c>
      <c r="AD48">
        <f t="shared" ca="1" si="38"/>
        <v>0.39998400326839972</v>
      </c>
      <c r="AE48">
        <f t="shared" ca="1" si="38"/>
        <v>0.29908828969660312</v>
      </c>
      <c r="AF48">
        <f t="shared" ca="1" si="38"/>
        <v>0.22233309905699719</v>
      </c>
      <c r="AG48">
        <f t="shared" ca="1" si="38"/>
        <v>0.16441678689844733</v>
      </c>
      <c r="AH48">
        <f t="shared" ca="1" si="38"/>
        <v>0.12102295941995361</v>
      </c>
      <c r="AI48">
        <f t="shared" ca="1" si="38"/>
        <v>0.29760426499997655</v>
      </c>
    </row>
    <row r="49" spans="1:47">
      <c r="A49" s="1" t="s">
        <v>44</v>
      </c>
      <c r="B49" s="1">
        <f ca="1">f2_*re*phi_q2</f>
        <v>9382.94566774333</v>
      </c>
      <c r="C49" s="20">
        <f ca="1">ye_2/SUM(ye_1,ye_2,ye_3)</f>
        <v>0.22513595166163139</v>
      </c>
      <c r="F49" t="s">
        <v>86</v>
      </c>
      <c r="G49" s="31">
        <f ca="1">G41/G55</f>
        <v>2.2891138362179464</v>
      </c>
      <c r="H49" s="31">
        <f t="shared" ca="1" si="37"/>
        <v>2.6165611412540182</v>
      </c>
      <c r="I49" s="31">
        <f t="shared" ca="1" si="37"/>
        <v>1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7134.6649666801959</v>
      </c>
      <c r="C50" s="20">
        <f ca="1">ye_3/SUM(ye_1,ye_2,ye_3)</f>
        <v>0.171190332326284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41676.798390003256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1125.5673298439615</v>
      </c>
      <c r="H52" s="57">
        <f ca="1">H40^0.5</f>
        <v>338.92108001301654</v>
      </c>
      <c r="I52" s="11">
        <f ca="1">I41^0.5</f>
        <v>479.45892815644663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3.2891505482076862</v>
      </c>
      <c r="C53">
        <f ca="1">AVERAGE(B53:B55)/B53</f>
        <v>0.55217466736063847</v>
      </c>
      <c r="G53">
        <f ca="1">G$52*$J53</f>
        <v>1266901.8140120653</v>
      </c>
      <c r="H53">
        <f t="shared" ref="H53:I53" ca="1" si="39">H$52*$J53</f>
        <v>381478.49505808263</v>
      </c>
      <c r="I53">
        <f t="shared" ca="1" si="39"/>
        <v>539663.30553489935</v>
      </c>
      <c r="J53">
        <f t="array" aca="1" ref="J53:J55" ca="1">TRANSPOSE(G52:I52)</f>
        <v>1125.5673298439615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1.2266660270070302</v>
      </c>
      <c r="C54">
        <f ca="1">AVERAGE(B53:B55)/B54</f>
        <v>1.4805868670602971</v>
      </c>
      <c r="G54">
        <f t="shared" ref="G54:I55" ca="1" si="40">G$52*$J54</f>
        <v>381478.49505808263</v>
      </c>
      <c r="H54">
        <f t="shared" ca="1" si="40"/>
        <v>114867.49847718955</v>
      </c>
      <c r="I54">
        <f ca="1">I$52*$J54</f>
        <v>162498.7377526662</v>
      </c>
      <c r="J54">
        <f ca="1"/>
        <v>338.92108001301654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0.93274025435220564</v>
      </c>
      <c r="C55">
        <f ca="1">AVERAGE(B53:B55)/B55</f>
        <v>1.9471504541390183</v>
      </c>
      <c r="G55">
        <f t="shared" ca="1" si="40"/>
        <v>539663.30553489935</v>
      </c>
      <c r="H55">
        <f t="shared" ca="1" si="40"/>
        <v>162498.7377526662</v>
      </c>
      <c r="I55">
        <f t="shared" ca="1" si="40"/>
        <v>229880.86378892866</v>
      </c>
      <c r="J55">
        <f ca="1"/>
        <v>479.45892815644663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5.8480044544393012E-2</v>
      </c>
      <c r="C56">
        <f ca="1">AVERAGE(B56:B58)/B56</f>
        <v>1.1109524880322097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0.10364000254453296</v>
      </c>
      <c r="C57">
        <f ca="1">AVERAGE(B56:B58)/B57</f>
        <v>0.62686751632326143</v>
      </c>
      <c r="G57">
        <f t="array" aca="1" ref="G57:I59" ca="1">MMULT($G$52:$I$52,TRANSPOSE($G$52:$I$52))</f>
        <v>1611650.1762781835</v>
      </c>
      <c r="H57">
        <f ca="1"/>
        <v>1611650.1762781835</v>
      </c>
      <c r="I57">
        <f ca="1"/>
        <v>1611650.1762781835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3.2785605871557669E-2</v>
      </c>
      <c r="C58">
        <f ca="1">AVERAGE(B56:B58)/B58</f>
        <v>1.9816181296557862</v>
      </c>
      <c r="G58">
        <f ca="1"/>
        <v>1611650.1762781835</v>
      </c>
      <c r="H58">
        <f ca="1"/>
        <v>1611650.1762781835</v>
      </c>
      <c r="I58">
        <f ca="1"/>
        <v>1611650.1762781835</v>
      </c>
      <c r="AL58" s="31"/>
      <c r="AM58" s="31"/>
      <c r="AN58" s="31"/>
      <c r="AO58" s="31"/>
      <c r="AP58" s="31"/>
    </row>
    <row r="59" spans="1:47">
      <c r="G59">
        <f ca="1"/>
        <v>1611650.1762781835</v>
      </c>
      <c r="H59">
        <f ca="1"/>
        <v>1611650.1762781835</v>
      </c>
      <c r="I59">
        <f ca="1"/>
        <v>1611650.1762781835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56.243981580945039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11.835835554712046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28.449687890666102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(1)'!K35:AI35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'Reduce DMR (1)'!K46:AI46</xm:f>
              <xm:sqref>J46</xm:sqref>
            </x14:sparkline>
            <x14:sparkline>
              <xm:f>'Reduce DMR (1)'!K47:AI47</xm:f>
              <xm:sqref>J47</xm:sqref>
            </x14:sparkline>
            <x14:sparkline>
              <xm:f>'Reduce DMR (1)'!K48:AI48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(1)'!K18:AI18</xm:f>
              <xm:sqref>J18</xm:sqref>
            </x14:sparkline>
            <x14:sparkline>
              <xm:f>'Reduce DMR (1)'!K19:AI19</xm:f>
              <xm:sqref>J19</xm:sqref>
            </x14:sparkline>
            <x14:sparkline>
              <xm:f>'Reduce DMR (1)'!K20:AI20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'Reduce DMR (1)'!K6:AI6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0.64517448535957689</v>
      </c>
      <c r="E4" s="47">
        <v>24977</v>
      </c>
      <c r="F4" s="47">
        <f ca="1">ye_1</f>
        <v>27326.822963582115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0.21854122339306845</v>
      </c>
      <c r="E5" s="47">
        <v>9315</v>
      </c>
      <c r="F5" s="47">
        <f ca="1">ye_2</f>
        <v>9256.4685328165433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0.13628429124735464</v>
      </c>
      <c r="E6" s="47">
        <v>7083</v>
      </c>
      <c r="F6" s="47">
        <f ca="1">ye_3</f>
        <v>5772.4178251687936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0.27896177988215748</v>
      </c>
      <c r="J7" t="s">
        <v>7</v>
      </c>
      <c r="K7" s="1">
        <f>1</f>
        <v>1</v>
      </c>
      <c r="L7" s="1">
        <f ca="1">K7*EXP(-K8)</f>
        <v>0.86049693429305019</v>
      </c>
      <c r="M7" s="1">
        <f t="shared" ref="M7:AH7" ca="1" si="4">L7*EXP(-L8)</f>
        <v>0.7383021519014018</v>
      </c>
      <c r="N7" s="1">
        <f t="shared" ca="1" si="4"/>
        <v>0.62186081356086453</v>
      </c>
      <c r="O7" s="1">
        <f t="shared" ca="1" si="4"/>
        <v>0.51694514687789139</v>
      </c>
      <c r="P7" s="1">
        <f t="shared" ca="1" si="4"/>
        <v>0.43017881293137078</v>
      </c>
      <c r="Q7" s="1">
        <f t="shared" ca="1" si="4"/>
        <v>0.35870099975286085</v>
      </c>
      <c r="R7" s="1">
        <f t="shared" ca="1" si="4"/>
        <v>0.2965191698172901</v>
      </c>
      <c r="S7" s="1">
        <f t="shared" ca="1" si="4"/>
        <v>0.24315915094333271</v>
      </c>
      <c r="T7" s="1">
        <f t="shared" ca="1" si="4"/>
        <v>0.19888552845116686</v>
      </c>
      <c r="U7" s="1">
        <f t="shared" ca="1" si="4"/>
        <v>0.16183655348746839</v>
      </c>
      <c r="V7" s="1">
        <f t="shared" ca="1" si="4"/>
        <v>0.12976456969364999</v>
      </c>
      <c r="W7" s="1">
        <f t="shared" ca="1" si="4"/>
        <v>0.10103562393843657</v>
      </c>
      <c r="X7" s="1">
        <f t="shared" ca="1" si="4"/>
        <v>7.5649658598432742E-2</v>
      </c>
      <c r="Y7" s="1">
        <f t="shared" ca="1" si="4"/>
        <v>5.4783042157874655E-2</v>
      </c>
      <c r="Z7" s="1">
        <f t="shared" ca="1" si="4"/>
        <v>3.8920824911608524E-2</v>
      </c>
      <c r="AA7" s="1">
        <f t="shared" ca="1" si="4"/>
        <v>2.7366410341512472E-2</v>
      </c>
      <c r="AB7" s="1">
        <f t="shared" ca="1" si="4"/>
        <v>1.9157720325754662E-2</v>
      </c>
      <c r="AC7" s="1">
        <f t="shared" ca="1" si="4"/>
        <v>1.3387509582720256E-2</v>
      </c>
      <c r="AD7" s="1">
        <f t="shared" ca="1" si="4"/>
        <v>9.3487160441363629E-3</v>
      </c>
      <c r="AE7" s="1">
        <f t="shared" ca="1" si="4"/>
        <v>6.5265784299313023E-3</v>
      </c>
      <c r="AF7" s="1">
        <f t="shared" ca="1" si="4"/>
        <v>4.5558907339602927E-3</v>
      </c>
      <c r="AG7" s="1">
        <f t="shared" ca="1" si="4"/>
        <v>3.1801207681715297E-3</v>
      </c>
      <c r="AH7" s="1">
        <f t="shared" ca="1" si="4"/>
        <v>2.2197680434251376E-3</v>
      </c>
      <c r="AI7" s="1">
        <f ca="1">AH7*EXP(-AH8)/(1-EXP(-AI8))</f>
        <v>5.130704894963244E-3</v>
      </c>
    </row>
    <row r="8" spans="1:35">
      <c r="A8" s="5"/>
      <c r="B8" s="26"/>
      <c r="C8" s="26"/>
      <c r="E8" t="s">
        <v>111</v>
      </c>
      <c r="F8">
        <f ca="1">SUMXMY2(E4:E6,F4:F6)</f>
        <v>7242719.5298137777</v>
      </c>
      <c r="J8" t="s">
        <v>11</v>
      </c>
      <c r="K8" s="1">
        <f ca="1">M+f1_*flt1_ +f2_*flt2_ +f3_*flt3_</f>
        <v>0.15024522604107285</v>
      </c>
      <c r="L8" s="1">
        <f t="shared" ref="L8:AI8" ca="1" si="5">M+f1_*flt1_ +f2_*flt2_ +f3_*flt3_</f>
        <v>0.15315689220945949</v>
      </c>
      <c r="M8" s="1">
        <f t="shared" ca="1" si="5"/>
        <v>0.17163686544339235</v>
      </c>
      <c r="N8" s="1">
        <f t="shared" ca="1" si="5"/>
        <v>0.18477952529088937</v>
      </c>
      <c r="O8" s="1">
        <f t="shared" ca="1" si="5"/>
        <v>0.18373580372243564</v>
      </c>
      <c r="P8" s="1">
        <f t="shared" ca="1" si="5"/>
        <v>0.18171179458452438</v>
      </c>
      <c r="Q8" s="1">
        <f t="shared" ca="1" si="5"/>
        <v>0.1903773016585957</v>
      </c>
      <c r="R8" s="1">
        <f t="shared" ca="1" si="5"/>
        <v>0.19839569891859871</v>
      </c>
      <c r="S8" s="1">
        <f t="shared" ca="1" si="5"/>
        <v>0.20098674581291262</v>
      </c>
      <c r="T8" s="1">
        <f t="shared" ca="1" si="5"/>
        <v>0.20614252846912867</v>
      </c>
      <c r="U8" s="1">
        <f t="shared" ca="1" si="5"/>
        <v>0.22086509057940984</v>
      </c>
      <c r="V8" s="1">
        <f t="shared" ca="1" si="5"/>
        <v>0.25024863933705666</v>
      </c>
      <c r="W8" s="1">
        <f t="shared" ca="1" si="5"/>
        <v>0.28936023959949736</v>
      </c>
      <c r="X8" s="1">
        <f t="shared" ca="1" si="5"/>
        <v>0.32273223092444359</v>
      </c>
      <c r="Y8" s="1">
        <f t="shared" ca="1" si="5"/>
        <v>0.341851244240782</v>
      </c>
      <c r="Z8" s="1">
        <f t="shared" ca="1" si="5"/>
        <v>0.35221309073072249</v>
      </c>
      <c r="AA8" s="1">
        <f t="shared" ca="1" si="5"/>
        <v>0.35661057686579894</v>
      </c>
      <c r="AB8" s="1">
        <f t="shared" ca="1" si="5"/>
        <v>0.35838363298370762</v>
      </c>
      <c r="AC8" s="1">
        <f t="shared" ca="1" si="5"/>
        <v>0.35908313918131296</v>
      </c>
      <c r="AD8" s="1">
        <f t="shared" ca="1" si="5"/>
        <v>0.35935618346361359</v>
      </c>
      <c r="AE8" s="1">
        <f t="shared" ca="1" si="5"/>
        <v>0.3594617665158748</v>
      </c>
      <c r="AF8" s="1">
        <f t="shared" ca="1" si="5"/>
        <v>0.35950188892551466</v>
      </c>
      <c r="AG8" s="1">
        <f t="shared" ca="1" si="5"/>
        <v>0.35951646800176817</v>
      </c>
      <c r="AH8" s="1">
        <f t="shared" ca="1" si="5"/>
        <v>0.35952108672317373</v>
      </c>
      <c r="AI8" s="1">
        <f t="shared" ca="1" si="5"/>
        <v>0.35952182256009113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0.86049693429305019</v>
      </c>
      <c r="L10" s="1">
        <f t="shared" ca="1" si="6"/>
        <v>0.85799509850428612</v>
      </c>
      <c r="M10" s="1">
        <f t="shared" ca="1" si="6"/>
        <v>0.84228498042345179</v>
      </c>
      <c r="N10" s="1">
        <f t="shared" ca="1" si="6"/>
        <v>0.83128754152844764</v>
      </c>
      <c r="O10" s="1">
        <f t="shared" ca="1" si="6"/>
        <v>0.83215562720619596</v>
      </c>
      <c r="P10" s="1">
        <f t="shared" ca="1" si="6"/>
        <v>0.83384162346016499</v>
      </c>
      <c r="Q10" s="1">
        <f t="shared" ca="1" si="6"/>
        <v>0.82664717974465363</v>
      </c>
      <c r="R10" s="1">
        <f t="shared" ca="1" si="6"/>
        <v>0.82004529789140823</v>
      </c>
      <c r="S10" s="1">
        <f t="shared" ca="1" si="6"/>
        <v>0.81792327239009133</v>
      </c>
      <c r="T10" s="1">
        <f t="shared" ca="1" si="6"/>
        <v>0.81371709016629001</v>
      </c>
      <c r="U10" s="1">
        <f t="shared" ca="1" si="6"/>
        <v>0.80182484671918175</v>
      </c>
      <c r="V10" s="1">
        <f t="shared" ca="1" si="6"/>
        <v>0.77860716663233176</v>
      </c>
      <c r="W10" s="1">
        <f t="shared" ca="1" si="6"/>
        <v>0.74874243014056008</v>
      </c>
      <c r="X10" s="1">
        <f t="shared" ca="1" si="6"/>
        <v>0.72416773813450641</v>
      </c>
      <c r="Y10" s="1">
        <f t="shared" ca="1" si="6"/>
        <v>0.71045388095545814</v>
      </c>
      <c r="Z10" s="1">
        <f t="shared" ca="1" si="6"/>
        <v>0.70313027546726448</v>
      </c>
      <c r="AA10" s="1">
        <f t="shared" ca="1" si="6"/>
        <v>0.70004505840117659</v>
      </c>
      <c r="AB10" s="1">
        <f t="shared" ca="1" si="6"/>
        <v>0.69880493895313689</v>
      </c>
      <c r="AC10" s="1">
        <f t="shared" ca="1" si="6"/>
        <v>0.6983162914933102</v>
      </c>
      <c r="AD10" s="1">
        <f t="shared" ca="1" si="6"/>
        <v>0.69812564625116169</v>
      </c>
      <c r="AE10" s="1">
        <f t="shared" ca="1" si="6"/>
        <v>0.69805193990570757</v>
      </c>
      <c r="AF10" s="1">
        <f t="shared" ca="1" si="6"/>
        <v>0.69802393294168197</v>
      </c>
      <c r="AG10" s="1">
        <f t="shared" ca="1" si="6"/>
        <v>0.69801375647171882</v>
      </c>
      <c r="AH10" s="1">
        <f t="shared" ca="1" si="6"/>
        <v>0.69801053254808565</v>
      </c>
      <c r="AI10" s="1">
        <f t="shared" ca="1" si="6"/>
        <v>0.69801001892635606</v>
      </c>
    </row>
    <row r="11" spans="1:35">
      <c r="A11" s="5">
        <v>1</v>
      </c>
      <c r="B11" s="25">
        <f>'Status Quo'!B11</f>
        <v>0.33281383386907948</v>
      </c>
      <c r="C11" s="18">
        <f ca="1">mpr1_/SUM(mpr1_,mpr2_,mpr3_)</f>
        <v>0.33281383386907953</v>
      </c>
      <c r="J11" t="s">
        <v>56</v>
      </c>
      <c r="K11" s="1">
        <f ca="1">1-sa</f>
        <v>0.13950306570694981</v>
      </c>
      <c r="L11" s="1">
        <f t="shared" ref="L11:AI11" ca="1" si="7">1-sa</f>
        <v>0.14200490149571388</v>
      </c>
      <c r="M11" s="1">
        <f t="shared" ca="1" si="7"/>
        <v>0.15771501957654821</v>
      </c>
      <c r="N11" s="1">
        <f t="shared" ca="1" si="7"/>
        <v>0.16871245847155236</v>
      </c>
      <c r="O11" s="1">
        <f t="shared" ca="1" si="7"/>
        <v>0.16784437279380404</v>
      </c>
      <c r="P11" s="1">
        <f t="shared" ca="1" si="7"/>
        <v>0.16615837653983501</v>
      </c>
      <c r="Q11" s="1">
        <f t="shared" ca="1" si="7"/>
        <v>0.17335282025534637</v>
      </c>
      <c r="R11" s="1">
        <f t="shared" ca="1" si="7"/>
        <v>0.17995470210859177</v>
      </c>
      <c r="S11" s="1">
        <f t="shared" ca="1" si="7"/>
        <v>0.18207672760990867</v>
      </c>
      <c r="T11" s="1">
        <f t="shared" ca="1" si="7"/>
        <v>0.18628290983370999</v>
      </c>
      <c r="U11" s="1">
        <f t="shared" ca="1" si="7"/>
        <v>0.19817515328081825</v>
      </c>
      <c r="V11" s="1">
        <f t="shared" ca="1" si="7"/>
        <v>0.22139283336766824</v>
      </c>
      <c r="W11" s="1">
        <f t="shared" ca="1" si="7"/>
        <v>0.25125756985943992</v>
      </c>
      <c r="X11" s="1">
        <f t="shared" ca="1" si="7"/>
        <v>0.27583226186549359</v>
      </c>
      <c r="Y11" s="1">
        <f t="shared" ca="1" si="7"/>
        <v>0.28954611904454186</v>
      </c>
      <c r="Z11" s="1">
        <f t="shared" ca="1" si="7"/>
        <v>0.29686972453273552</v>
      </c>
      <c r="AA11" s="1">
        <f t="shared" ca="1" si="7"/>
        <v>0.29995494159882341</v>
      </c>
      <c r="AB11" s="1">
        <f t="shared" ca="1" si="7"/>
        <v>0.30119506104686311</v>
      </c>
      <c r="AC11" s="1">
        <f t="shared" ca="1" si="7"/>
        <v>0.3016837085066898</v>
      </c>
      <c r="AD11" s="1">
        <f t="shared" ca="1" si="7"/>
        <v>0.30187435374883831</v>
      </c>
      <c r="AE11" s="1">
        <f t="shared" ca="1" si="7"/>
        <v>0.30194806009429243</v>
      </c>
      <c r="AF11" s="1">
        <f t="shared" ca="1" si="7"/>
        <v>0.30197606705831803</v>
      </c>
      <c r="AG11" s="1">
        <f t="shared" ca="1" si="7"/>
        <v>0.30198624352828118</v>
      </c>
      <c r="AH11" s="1">
        <f t="shared" ca="1" si="7"/>
        <v>0.30198946745191435</v>
      </c>
      <c r="AI11" s="1">
        <f t="shared" ca="1" si="7"/>
        <v>0.30198998107364394</v>
      </c>
    </row>
    <row r="12" spans="1:35">
      <c r="A12" s="5">
        <v>2</v>
      </c>
      <c r="B12" s="25">
        <f>'Status Quo'!B12</f>
        <v>0.52899969970753113</v>
      </c>
      <c r="C12" s="18">
        <f ca="1">mpr2_/SUM(mpr1_,mpr2_,mpr3_)</f>
        <v>0.52899969970753113</v>
      </c>
      <c r="J12" t="s">
        <v>100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5">
        <f>1-SUM(B11:B12)</f>
        <v>0.13818646642338939</v>
      </c>
      <c r="C13" s="18">
        <f ca="1">mpr3_/SUM(mpr1_,mpr2_,mpr3_)</f>
        <v>0.13818646642338939</v>
      </c>
      <c r="J13" t="s">
        <v>101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7" t="s">
        <v>49</v>
      </c>
      <c r="B14" s="30">
        <v>0.4</v>
      </c>
      <c r="C14" s="29">
        <f ca="1">spr</f>
        <v>0.27896177988215748</v>
      </c>
      <c r="J14" t="s">
        <v>102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6" t="s">
        <v>50</v>
      </c>
      <c r="C15" s="26">
        <f ca="1">CHOOSE(C25,SUMXMY2(B14,C14),SUMXMY2(B7,C7))</f>
        <v>1.4650250729295303E-2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7">
        <v>1000000</v>
      </c>
      <c r="E18">
        <v>82</v>
      </c>
      <c r="F18" s="31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103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1">
        <v>0.4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104</v>
      </c>
      <c r="K19" s="4">
        <f t="shared" si="12"/>
        <v>2.7964157702227983E-3</v>
      </c>
      <c r="L19" s="4">
        <f t="shared" si="12"/>
        <v>3.6111154878865959E-2</v>
      </c>
      <c r="M19" s="4">
        <f t="shared" si="12"/>
        <v>0.24762983785040377</v>
      </c>
      <c r="N19" s="4">
        <f t="shared" si="12"/>
        <v>0.39787154862997498</v>
      </c>
      <c r="O19" s="4">
        <f t="shared" si="12"/>
        <v>0.38512107318293554</v>
      </c>
      <c r="P19" s="4">
        <f t="shared" ref="P19:Y19" si="14">((EXP(g*(ah-age)/gh)/(1+EXP((ah-age)/gh))) *(1/(1-g))*((1-g)/g)^g) *(sr_2+(1-sr_2)*dmr)</f>
        <v>0.35372767115843323</v>
      </c>
      <c r="Q19" s="4">
        <f t="shared" si="14"/>
        <v>0.32463963817095953</v>
      </c>
      <c r="R19" s="4">
        <f t="shared" si="14"/>
        <v>0.29787942426955161</v>
      </c>
      <c r="S19" s="4">
        <f t="shared" si="14"/>
        <v>0.27332116734651052</v>
      </c>
      <c r="T19" s="4">
        <f t="shared" si="14"/>
        <v>0.25078734475789327</v>
      </c>
      <c r="U19" s="4">
        <f t="shared" si="14"/>
        <v>0.23011129712513784</v>
      </c>
      <c r="V19" s="4">
        <f t="shared" si="14"/>
        <v>0.21113987588133967</v>
      </c>
      <c r="W19" s="4">
        <f t="shared" si="14"/>
        <v>0.19373254478113611</v>
      </c>
      <c r="X19" s="4">
        <f t="shared" si="14"/>
        <v>0.1777603531788107</v>
      </c>
      <c r="Y19" s="4">
        <f t="shared" si="14"/>
        <v>0.1631049816567173</v>
      </c>
      <c r="Z19" s="4">
        <f>Y19</f>
        <v>0.1631049816567173</v>
      </c>
      <c r="AA19" s="4">
        <f t="shared" ref="AA19:AI20" si="15">Z19</f>
        <v>0.1631049816567173</v>
      </c>
      <c r="AB19" s="4">
        <f t="shared" si="15"/>
        <v>0.1631049816567173</v>
      </c>
      <c r="AC19" s="4">
        <f t="shared" si="15"/>
        <v>0.1631049816567173</v>
      </c>
      <c r="AD19" s="4">
        <f t="shared" si="15"/>
        <v>0.1631049816567173</v>
      </c>
      <c r="AE19" s="4">
        <f t="shared" si="15"/>
        <v>0.1631049816567173</v>
      </c>
      <c r="AF19" s="4">
        <f t="shared" si="15"/>
        <v>0.1631049816567173</v>
      </c>
      <c r="AG19" s="4">
        <f t="shared" si="15"/>
        <v>0.1631049816567173</v>
      </c>
      <c r="AH19" s="4">
        <f t="shared" si="15"/>
        <v>0.1631049816567173</v>
      </c>
      <c r="AI19" s="4">
        <f t="shared" si="15"/>
        <v>0.1631049816567173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105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199.30493904055479</v>
      </c>
      <c r="J22" s="8" t="s">
        <v>23</v>
      </c>
      <c r="K22" s="1">
        <f t="shared" ref="K22:AI22" ca="1" si="17">wa*flt1_*(1-EXP(-za))/za</f>
        <v>1.8354442067584003E-7</v>
      </c>
      <c r="L22" s="1">
        <f t="shared" ca="1" si="17"/>
        <v>3.0990133789831888E-6</v>
      </c>
      <c r="M22" s="1">
        <f t="shared" ca="1" si="17"/>
        <v>2.3884426430655185E-5</v>
      </c>
      <c r="N22" s="1">
        <f t="shared" ca="1" si="17"/>
        <v>1.3145355323489918E-4</v>
      </c>
      <c r="O22" s="1">
        <f t="shared" ca="1" si="17"/>
        <v>6.068078002894403E-4</v>
      </c>
      <c r="P22" s="1">
        <f t="shared" ca="1" si="17"/>
        <v>3.4862773538432861E-3</v>
      </c>
      <c r="Q22" s="1">
        <f t="shared" ca="1" si="17"/>
        <v>4.5980663224724418E-2</v>
      </c>
      <c r="R22" s="1">
        <f t="shared" ca="1" si="17"/>
        <v>0.19296581116484338</v>
      </c>
      <c r="S22" s="1">
        <f t="shared" ca="1" si="17"/>
        <v>0.63489103444159434</v>
      </c>
      <c r="T22" s="1">
        <f t="shared" ca="1" si="17"/>
        <v>1.9390821426566027</v>
      </c>
      <c r="U22" s="1">
        <f t="shared" ca="1" si="17"/>
        <v>5.3530169042151865</v>
      </c>
      <c r="V22" s="1">
        <f t="shared" ca="1" si="17"/>
        <v>12.563892066874541</v>
      </c>
      <c r="W22" s="1">
        <f t="shared" ca="1" si="17"/>
        <v>23.589105752948221</v>
      </c>
      <c r="X22" s="1">
        <f t="shared" ca="1" si="17"/>
        <v>35.449437549561829</v>
      </c>
      <c r="Y22" s="1">
        <f t="shared" ca="1" si="17"/>
        <v>45.517724462303477</v>
      </c>
      <c r="Z22" s="1">
        <f t="shared" ca="1" si="17"/>
        <v>53.499950800821431</v>
      </c>
      <c r="AA22" s="1">
        <f t="shared" ca="1" si="17"/>
        <v>60.170418347867695</v>
      </c>
      <c r="AB22" s="1">
        <f t="shared" ca="1" si="17"/>
        <v>66.122481457956326</v>
      </c>
      <c r="AC22" s="1">
        <f t="shared" ca="1" si="17"/>
        <v>71.6681283165927</v>
      </c>
      <c r="AD22" s="1">
        <f t="shared" ca="1" si="17"/>
        <v>76.944136974203559</v>
      </c>
      <c r="AE22" s="1">
        <f t="shared" ca="1" si="17"/>
        <v>82.002609280564954</v>
      </c>
      <c r="AF22" s="1">
        <f t="shared" ca="1" si="17"/>
        <v>86.859386045923884</v>
      </c>
      <c r="AG22" s="1">
        <f t="shared" ca="1" si="17"/>
        <v>91.516509198889949</v>
      </c>
      <c r="AH22" s="1">
        <f t="shared" ca="1" si="17"/>
        <v>95.971930912667716</v>
      </c>
      <c r="AI22" s="1">
        <f t="shared" ca="1" si="17"/>
        <v>100.2234473884243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8">wa*flt2_*(1-EXP(-za))/za</f>
        <v>1.8328370275737265E-4</v>
      </c>
      <c r="L23" s="1">
        <f t="shared" ca="1" si="18"/>
        <v>1.5576577049121144E-2</v>
      </c>
      <c r="M23" s="1">
        <f t="shared" ca="1" si="18"/>
        <v>0.32089978636675742</v>
      </c>
      <c r="N23" s="1">
        <f t="shared" ca="1" si="18"/>
        <v>1.1061396293884755</v>
      </c>
      <c r="O23" s="1">
        <f t="shared" ca="1" si="18"/>
        <v>1.9110633515142379</v>
      </c>
      <c r="P23" s="1">
        <f t="shared" ca="1" si="18"/>
        <v>2.7738883460231727</v>
      </c>
      <c r="Q23" s="1">
        <f t="shared" ca="1" si="18"/>
        <v>3.6769435709726803</v>
      </c>
      <c r="R23" s="1">
        <f t="shared" ca="1" si="18"/>
        <v>4.5808138469321236</v>
      </c>
      <c r="S23" s="1">
        <f t="shared" ca="1" si="18"/>
        <v>5.4570525938122785</v>
      </c>
      <c r="T23" s="1">
        <f t="shared" ca="1" si="18"/>
        <v>6.2556517135970564</v>
      </c>
      <c r="U23" s="1">
        <f t="shared" ca="1" si="18"/>
        <v>6.9276719544289431</v>
      </c>
      <c r="V23" s="1">
        <f t="shared" ca="1" si="18"/>
        <v>7.4336886349201592</v>
      </c>
      <c r="W23" s="1">
        <f t="shared" ca="1" si="18"/>
        <v>7.7799709738825031</v>
      </c>
      <c r="X23" s="1">
        <f t="shared" ca="1" si="18"/>
        <v>8.0263296378286935</v>
      </c>
      <c r="Y23" s="1">
        <f t="shared" ca="1" si="18"/>
        <v>8.2157945178881331</v>
      </c>
      <c r="Z23" s="1">
        <f t="shared" ca="1" si="18"/>
        <v>9.0883064091559014</v>
      </c>
      <c r="AA23" s="1">
        <f t="shared" ca="1" si="18"/>
        <v>9.9724024967816458</v>
      </c>
      <c r="AB23" s="1">
        <f t="shared" ca="1" si="18"/>
        <v>10.852260007927384</v>
      </c>
      <c r="AC23" s="1">
        <f t="shared" ca="1" si="18"/>
        <v>11.717458906906375</v>
      </c>
      <c r="AD23" s="1">
        <f t="shared" ca="1" si="18"/>
        <v>12.561318860212749</v>
      </c>
      <c r="AE23" s="1">
        <f t="shared" ca="1" si="18"/>
        <v>13.379417048364957</v>
      </c>
      <c r="AF23" s="1">
        <f t="shared" ca="1" si="18"/>
        <v>14.168740277721696</v>
      </c>
      <c r="AG23" s="1">
        <f t="shared" ca="1" si="18"/>
        <v>14.927236128955151</v>
      </c>
      <c r="AH23" s="1">
        <f t="shared" ca="1" si="18"/>
        <v>15.653564662767975</v>
      </c>
      <c r="AI23" s="1">
        <f t="shared" ca="1" si="18"/>
        <v>16.346945452409027</v>
      </c>
      <c r="AM23" s="43"/>
    </row>
    <row r="24" spans="1:39">
      <c r="A24" t="s">
        <v>125</v>
      </c>
      <c r="B24" s="31">
        <v>0.16405328226882354</v>
      </c>
      <c r="J24" s="8" t="s">
        <v>25</v>
      </c>
      <c r="K24" s="1">
        <f t="shared" ref="K24:AI24" ca="1" si="19">wa*flt3_*(1-EXP(-za))/za</f>
        <v>1.475398898222986E-6</v>
      </c>
      <c r="L24" s="1">
        <f t="shared" ca="1" si="19"/>
        <v>3.4779935941314095E-5</v>
      </c>
      <c r="M24" s="1">
        <f t="shared" ca="1" si="19"/>
        <v>3.7340189041657927E-4</v>
      </c>
      <c r="N24" s="1">
        <f t="shared" ca="1" si="19"/>
        <v>2.838511330778809E-3</v>
      </c>
      <c r="O24" s="1">
        <f t="shared" ca="1" si="19"/>
        <v>1.8098638194413322E-2</v>
      </c>
      <c r="P24" s="1">
        <f t="shared" ca="1" si="19"/>
        <v>0.27034875788598517</v>
      </c>
      <c r="Q24" s="1">
        <f t="shared" ca="1" si="19"/>
        <v>5.9790638926467476</v>
      </c>
      <c r="R24" s="1">
        <f t="shared" ca="1" si="19"/>
        <v>14.450598362261109</v>
      </c>
      <c r="S24" s="1">
        <f t="shared" ca="1" si="19"/>
        <v>19.887908765754876</v>
      </c>
      <c r="T24" s="1">
        <f t="shared" ca="1" si="19"/>
        <v>23.328204640877338</v>
      </c>
      <c r="U24" s="1">
        <f t="shared" ca="1" si="19"/>
        <v>25.586045659209145</v>
      </c>
      <c r="V24" s="1">
        <f t="shared" ca="1" si="19"/>
        <v>26.963771136013012</v>
      </c>
      <c r="W24" s="1">
        <f t="shared" ca="1" si="19"/>
        <v>27.656285731991062</v>
      </c>
      <c r="X24" s="1">
        <f t="shared" ca="1" si="19"/>
        <v>27.947388228516406</v>
      </c>
      <c r="Y24" s="1">
        <f t="shared" ca="1" si="19"/>
        <v>28.017163702001692</v>
      </c>
      <c r="Z24" s="1">
        <f t="shared" ca="1" si="19"/>
        <v>30.992567777209242</v>
      </c>
      <c r="AA24" s="1">
        <f t="shared" ca="1" si="19"/>
        <v>34.007475801184114</v>
      </c>
      <c r="AB24" s="1">
        <f t="shared" ca="1" si="19"/>
        <v>37.007929606416639</v>
      </c>
      <c r="AC24" s="1">
        <f t="shared" ca="1" si="19"/>
        <v>39.958395216858541</v>
      </c>
      <c r="AD24" s="1">
        <f t="shared" ca="1" si="19"/>
        <v>42.836091634639132</v>
      </c>
      <c r="AE24" s="1">
        <f t="shared" ca="1" si="19"/>
        <v>45.62593634312914</v>
      </c>
      <c r="AF24" s="1">
        <f t="shared" ca="1" si="19"/>
        <v>48.317653873616372</v>
      </c>
      <c r="AG24" s="1">
        <f t="shared" ca="1" si="19"/>
        <v>50.904245150336791</v>
      </c>
      <c r="AH24" s="1">
        <f t="shared" ca="1" si="19"/>
        <v>53.381140767548452</v>
      </c>
      <c r="AI24" s="1">
        <f t="shared" ca="1" si="19"/>
        <v>55.745679346124071</v>
      </c>
      <c r="AM24" s="44"/>
    </row>
    <row r="25" spans="1:39">
      <c r="A25" s="40"/>
      <c r="B25" s="40" t="s">
        <v>97</v>
      </c>
      <c r="C25" s="40">
        <v>1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2.600172437916366E-6</v>
      </c>
      <c r="L26">
        <f t="shared" ref="L26:AI26" ca="1" si="20">qa1_/wa</f>
        <v>6.6613091720862964E-6</v>
      </c>
      <c r="M26">
        <f t="shared" ca="1" si="20"/>
        <v>1.6935999859357218E-5</v>
      </c>
      <c r="N26">
        <f t="shared" ca="1" si="20"/>
        <v>4.3171642199548196E-5</v>
      </c>
      <c r="O26">
        <f t="shared" ca="1" si="20"/>
        <v>1.117085323400684E-4</v>
      </c>
      <c r="P26">
        <f t="shared" ca="1" si="20"/>
        <v>4.0651925073366423E-4</v>
      </c>
      <c r="Q26">
        <f t="shared" ca="1" si="20"/>
        <v>3.6966263637072416E-3</v>
      </c>
      <c r="R26">
        <f t="shared" ca="1" si="20"/>
        <v>1.1381753562106932E-2</v>
      </c>
      <c r="S26">
        <f t="shared" ca="1" si="20"/>
        <v>2.8807219551789325E-2</v>
      </c>
      <c r="T26">
        <f t="shared" ca="1" si="20"/>
        <v>7.0248115404642403E-2</v>
      </c>
      <c r="U26">
        <f t="shared" ca="1" si="20"/>
        <v>0.15954065327425163</v>
      </c>
      <c r="V26">
        <f t="shared" ca="1" si="20"/>
        <v>0.31570533860071459</v>
      </c>
      <c r="W26">
        <f t="shared" ca="1" si="20"/>
        <v>0.5100542651200346</v>
      </c>
      <c r="X26">
        <f t="shared" ca="1" si="20"/>
        <v>0.67101152885154125</v>
      </c>
      <c r="Y26">
        <f t="shared" ca="1" si="20"/>
        <v>0.76538294879624125</v>
      </c>
      <c r="Z26">
        <f t="shared" ca="1" si="20"/>
        <v>0.80927861382022837</v>
      </c>
      <c r="AA26">
        <f t="shared" ca="1" si="20"/>
        <v>0.8277749108047544</v>
      </c>
      <c r="AB26">
        <f t="shared" ca="1" si="20"/>
        <v>0.83521033027924796</v>
      </c>
      <c r="AC26">
        <f t="shared" ca="1" si="20"/>
        <v>0.83814024380870544</v>
      </c>
      <c r="AD26">
        <f t="shared" ca="1" si="20"/>
        <v>0.83928336400351378</v>
      </c>
      <c r="AE26">
        <f t="shared" ca="1" si="20"/>
        <v>0.83972531431023245</v>
      </c>
      <c r="AF26">
        <f t="shared" ca="1" si="20"/>
        <v>0.83989324714112146</v>
      </c>
      <c r="AG26">
        <f t="shared" ca="1" si="20"/>
        <v>0.83995426642568649</v>
      </c>
      <c r="AH26">
        <f t="shared" ca="1" si="20"/>
        <v>0.839973597448608</v>
      </c>
      <c r="AI26">
        <f t="shared" ca="1" si="20"/>
        <v>0.83997667718479596</v>
      </c>
      <c r="AM26" s="44"/>
    </row>
    <row r="27" spans="1:39">
      <c r="A27" t="s">
        <v>14</v>
      </c>
      <c r="B27" s="28">
        <f ca="1">fbar*C27</f>
        <v>0.18339196813395661</v>
      </c>
      <c r="C27" s="36">
        <f ca="1">CHOOSE(C$25,E36,E39,1)</f>
        <v>1.8835417314747986</v>
      </c>
      <c r="E27" s="42">
        <f ca="1">f1_/(F4/(f1_*365*re*phib))</f>
        <v>210.21402323232675</v>
      </c>
      <c r="J27" s="8" t="s">
        <v>31</v>
      </c>
      <c r="K27">
        <f t="shared" ref="K27:AI27" ca="1" si="21">qa2_/wa</f>
        <v>2.5964789911574093E-3</v>
      </c>
      <c r="L27">
        <f t="shared" ca="1" si="21"/>
        <v>3.3481751408593205E-2</v>
      </c>
      <c r="M27">
        <f t="shared" ca="1" si="21"/>
        <v>0.22754403387304123</v>
      </c>
      <c r="N27">
        <f t="shared" ca="1" si="21"/>
        <v>0.36327556865174254</v>
      </c>
      <c r="O27">
        <f t="shared" ca="1" si="21"/>
        <v>0.35181169738543122</v>
      </c>
      <c r="P27">
        <f t="shared" ca="1" si="21"/>
        <v>0.32345074633866105</v>
      </c>
      <c r="Q27">
        <f t="shared" ca="1" si="21"/>
        <v>0.29560875352952076</v>
      </c>
      <c r="R27">
        <f t="shared" ca="1" si="21"/>
        <v>0.27019135672240507</v>
      </c>
      <c r="S27">
        <f t="shared" ca="1" si="21"/>
        <v>0.24760550023182487</v>
      </c>
      <c r="T27">
        <f t="shared" ca="1" si="21"/>
        <v>0.22662667756094024</v>
      </c>
      <c r="U27">
        <f t="shared" ca="1" si="21"/>
        <v>0.20647147749692127</v>
      </c>
      <c r="V27">
        <f t="shared" ca="1" si="21"/>
        <v>0.18679364444138913</v>
      </c>
      <c r="W27">
        <f t="shared" ca="1" si="21"/>
        <v>0.16822203517583045</v>
      </c>
      <c r="X27">
        <f t="shared" ca="1" si="21"/>
        <v>0.15192793154520554</v>
      </c>
      <c r="Y27">
        <f t="shared" ca="1" si="21"/>
        <v>0.13814902016933975</v>
      </c>
      <c r="Z27">
        <f t="shared" ca="1" si="21"/>
        <v>0.13747623881295715</v>
      </c>
      <c r="AA27">
        <f t="shared" ca="1" si="21"/>
        <v>0.13719207567342886</v>
      </c>
      <c r="AB27">
        <f t="shared" ca="1" si="21"/>
        <v>0.13707773007975443</v>
      </c>
      <c r="AC27">
        <f t="shared" ca="1" si="21"/>
        <v>0.13703265448302845</v>
      </c>
      <c r="AD27">
        <f t="shared" ca="1" si="21"/>
        <v>0.13701506526552687</v>
      </c>
      <c r="AE27">
        <f t="shared" ca="1" si="21"/>
        <v>0.13700826455151235</v>
      </c>
      <c r="AF27">
        <f t="shared" ca="1" si="21"/>
        <v>0.13700568034711916</v>
      </c>
      <c r="AG27">
        <f t="shared" ca="1" si="21"/>
        <v>0.13700474135448787</v>
      </c>
      <c r="AH27">
        <f t="shared" ca="1" si="21"/>
        <v>0.13700444387895597</v>
      </c>
      <c r="AI27">
        <f t="shared" ca="1" si="21"/>
        <v>0.13700439648638116</v>
      </c>
    </row>
    <row r="28" spans="1:39">
      <c r="A28" t="s">
        <v>15</v>
      </c>
      <c r="B28" s="28">
        <f ca="1">fbar*C28</f>
        <v>8.7337328596357247E-2</v>
      </c>
      <c r="C28" s="36">
        <f ca="1">CHOOSE(C$25,E37,E40,1)</f>
        <v>0.89700494956576515</v>
      </c>
      <c r="E28" s="42">
        <f ca="1">f2_/(F5/(f2_*365*re*phib))</f>
        <v>140.74879439665489</v>
      </c>
      <c r="J28" s="8" t="s">
        <v>32</v>
      </c>
      <c r="K28">
        <f t="shared" ref="K28:AI28" ca="1" si="22">qa3_/wa</f>
        <v>2.0901161342664301E-5</v>
      </c>
      <c r="L28">
        <f t="shared" ca="1" si="22"/>
        <v>7.4759246882136879E-5</v>
      </c>
      <c r="M28">
        <f t="shared" ca="1" si="22"/>
        <v>2.6477229344148127E-4</v>
      </c>
      <c r="N28">
        <f t="shared" ca="1" si="22"/>
        <v>9.3221668441909056E-4</v>
      </c>
      <c r="O28">
        <f t="shared" ca="1" si="22"/>
        <v>3.3318166132463292E-3</v>
      </c>
      <c r="P28">
        <f t="shared" ca="1" si="22"/>
        <v>3.1524162692171093E-2</v>
      </c>
      <c r="Q28">
        <f t="shared" ca="1" si="22"/>
        <v>0.48068826471305171</v>
      </c>
      <c r="R28">
        <f t="shared" ca="1" si="22"/>
        <v>0.85234347157869739</v>
      </c>
      <c r="S28">
        <f t="shared" ca="1" si="22"/>
        <v>0.90238375274105476</v>
      </c>
      <c r="T28">
        <f t="shared" ca="1" si="22"/>
        <v>0.84512273912765268</v>
      </c>
      <c r="U28">
        <f t="shared" ca="1" si="22"/>
        <v>0.76256333806095589</v>
      </c>
      <c r="V28">
        <f t="shared" ca="1" si="22"/>
        <v>0.67754533795233429</v>
      </c>
      <c r="W28">
        <f t="shared" ca="1" si="22"/>
        <v>0.59799666179449695</v>
      </c>
      <c r="X28">
        <f t="shared" ca="1" si="22"/>
        <v>0.52900753859368799</v>
      </c>
      <c r="Y28">
        <f t="shared" ca="1" si="22"/>
        <v>0.47111009226536099</v>
      </c>
      <c r="Z28">
        <f t="shared" ca="1" si="22"/>
        <v>0.46881580102470433</v>
      </c>
      <c r="AA28">
        <f t="shared" ca="1" si="22"/>
        <v>0.46784675960321981</v>
      </c>
      <c r="AB28">
        <f t="shared" ca="1" si="22"/>
        <v>0.46745682297449775</v>
      </c>
      <c r="AC28">
        <f t="shared" ca="1" si="22"/>
        <v>0.46730310803315073</v>
      </c>
      <c r="AD28">
        <f t="shared" ca="1" si="22"/>
        <v>0.46724312600888507</v>
      </c>
      <c r="AE28">
        <f t="shared" ca="1" si="22"/>
        <v>0.46721993449436755</v>
      </c>
      <c r="AF28">
        <f t="shared" ca="1" si="22"/>
        <v>0.46721112194710068</v>
      </c>
      <c r="AG28">
        <f t="shared" ca="1" si="22"/>
        <v>0.46720791983314713</v>
      </c>
      <c r="AH28">
        <f t="shared" ca="1" si="22"/>
        <v>0.467206905394354</v>
      </c>
      <c r="AI28">
        <f t="shared" ca="1" si="22"/>
        <v>0.46720674377814952</v>
      </c>
    </row>
    <row r="29" spans="1:39">
      <c r="A29" t="s">
        <v>19</v>
      </c>
      <c r="B29" s="28">
        <f ca="1">fbar*C29</f>
        <v>2.1367180458480014E-2</v>
      </c>
      <c r="C29" s="36">
        <f ca="1">CHOOSE(C$25,E38,E41,1)</f>
        <v>0.21945331895943612</v>
      </c>
      <c r="E29" s="42">
        <f ca="1">f3_/(F6/(f3_*365*re*phib))</f>
        <v>13.509114461402788</v>
      </c>
    </row>
    <row r="30" spans="1:39">
      <c r="A30" t="s">
        <v>95</v>
      </c>
      <c r="B30" s="28">
        <v>9.736549239626463E-2</v>
      </c>
      <c r="C30" s="36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0.29209647718879389</v>
      </c>
      <c r="G31">
        <f ca="1">SUMPRODUCT(dlz1_,wa,ma)</f>
        <v>-69.983694625466143</v>
      </c>
      <c r="H31">
        <f ca="1">Ro/(reck-1)*phie/phif^2*dphif</f>
        <v>-8331.1799540079082</v>
      </c>
      <c r="J31" s="8" t="s">
        <v>52</v>
      </c>
      <c r="K31">
        <v>0</v>
      </c>
      <c r="L31">
        <f t="shared" ref="L31:AH31" ca="1" si="23">K31*sa-K$7*K18*K$10</f>
        <v>-2.4097301279346692E-6</v>
      </c>
      <c r="M31">
        <f t="shared" ca="1" si="23"/>
        <v>-7.3339655310605671E-6</v>
      </c>
      <c r="N31">
        <f t="shared" ca="1" si="23"/>
        <v>-1.7558136648722564E-5</v>
      </c>
      <c r="O31">
        <f t="shared" ca="1" si="23"/>
        <v>-3.9053833009007869E-5</v>
      </c>
      <c r="P31">
        <f t="shared" ca="1" si="23"/>
        <v>-8.5169147764494566E-5</v>
      </c>
      <c r="Q31">
        <f t="shared" ca="1" si="23"/>
        <v>-2.2987321523336012E-4</v>
      </c>
      <c r="R31">
        <f t="shared" ca="1" si="23"/>
        <v>-1.3922738762886348E-3</v>
      </c>
      <c r="S31">
        <f t="shared" ca="1" si="23"/>
        <v>-4.1899603782837597E-3</v>
      </c>
      <c r="T31">
        <f t="shared" ca="1" si="23"/>
        <v>-9.7338157957619666E-3</v>
      </c>
      <c r="U31">
        <f t="shared" ca="1" si="23"/>
        <v>-2.0385546579922649E-2</v>
      </c>
      <c r="V31">
        <f t="shared" ca="1" si="23"/>
        <v>-3.8945402038919261E-2</v>
      </c>
      <c r="W31">
        <f t="shared" ca="1" si="23"/>
        <v>-6.5215001924317006E-2</v>
      </c>
      <c r="X31">
        <f t="shared" ca="1" si="23"/>
        <v>-9.1663429034259475E-2</v>
      </c>
      <c r="Y31">
        <f t="shared" ca="1" si="23"/>
        <v>-0.10813303149248502</v>
      </c>
      <c r="Z31">
        <f t="shared" ca="1" si="23"/>
        <v>-0.11120224535959689</v>
      </c>
      <c r="AA31">
        <f t="shared" ca="1" si="23"/>
        <v>-0.10412235419947516</v>
      </c>
      <c r="AB31">
        <f t="shared" ca="1" si="23"/>
        <v>-9.1614815287921217E-2</v>
      </c>
      <c r="AC31">
        <f t="shared" ca="1" si="23"/>
        <v>-7.7280538887622971E-2</v>
      </c>
      <c r="AD31">
        <f t="shared" ca="1" si="23"/>
        <v>-6.3277878480607119E-2</v>
      </c>
      <c r="AE31">
        <f t="shared" ca="1" si="23"/>
        <v>-5.0691928709232482E-2</v>
      </c>
      <c r="AF31">
        <f t="shared" ca="1" si="23"/>
        <v>-3.9938577714838858E-2</v>
      </c>
      <c r="AG31">
        <f t="shared" ca="1" si="23"/>
        <v>-3.1057451396002737E-2</v>
      </c>
      <c r="AH31">
        <f t="shared" ca="1" si="23"/>
        <v>-2.3898131161984474E-2</v>
      </c>
      <c r="AI31">
        <f ca="1">(AH31*sa-AH$7*AH18*AH$10)/oa-AH$7*AH$10*flt1_*sa/oa^2</f>
        <v>-7.2227008947365889E-2</v>
      </c>
    </row>
    <row r="32" spans="1:39">
      <c r="A32" s="12" t="s">
        <v>22</v>
      </c>
      <c r="B32" s="12"/>
      <c r="C32" s="12"/>
      <c r="G32">
        <f ca="1">SUMPRODUCT(dlz2_,wa,ma)</f>
        <v>-82.620410717503262</v>
      </c>
      <c r="H32">
        <f ca="1">Ro/(reck-1)*phie/phif^2*dphif</f>
        <v>-9835.512589686723</v>
      </c>
      <c r="J32" s="8" t="s">
        <v>53</v>
      </c>
      <c r="K32">
        <v>0</v>
      </c>
      <c r="L32">
        <f t="shared" ref="L32:AH32" ca="1" si="24">K32*sa-K$7*K19*K$10</f>
        <v>-2.4063071972854565E-3</v>
      </c>
      <c r="M32">
        <f t="shared" ca="1" si="24"/>
        <v>-2.8687739765269935E-2</v>
      </c>
      <c r="N32">
        <f t="shared" ca="1" si="24"/>
        <v>-0.17783905308907616</v>
      </c>
      <c r="O32">
        <f t="shared" ca="1" si="24"/>
        <v>-0.35366753491015268</v>
      </c>
      <c r="P32">
        <f t="shared" ca="1" si="24"/>
        <v>-0.46057363757132708</v>
      </c>
      <c r="Q32">
        <f t="shared" ca="1" si="24"/>
        <v>-0.50761436784785496</v>
      </c>
      <c r="R32">
        <f t="shared" ca="1" si="24"/>
        <v>-0.51252865149599147</v>
      </c>
      <c r="S32">
        <f t="shared" ca="1" si="24"/>
        <v>-0.49164121971415498</v>
      </c>
      <c r="T32">
        <f t="shared" ca="1" si="24"/>
        <v>-0.45441648751620839</v>
      </c>
      <c r="U32">
        <f t="shared" ca="1" si="24"/>
        <v>-0.40494898998324369</v>
      </c>
      <c r="V32">
        <f t="shared" ca="1" si="24"/>
        <v>-0.34515647917456904</v>
      </c>
      <c r="W32">
        <f t="shared" ca="1" si="24"/>
        <v>-0.27976595009388161</v>
      </c>
      <c r="X32">
        <f t="shared" ca="1" si="24"/>
        <v>-0.21725327615863599</v>
      </c>
      <c r="Y32">
        <f t="shared" ca="1" si="24"/>
        <v>-0.16408668611938432</v>
      </c>
      <c r="Z32">
        <f t="shared" ca="1" si="24"/>
        <v>-0.12172249724490547</v>
      </c>
      <c r="AA32">
        <f t="shared" ca="1" si="24"/>
        <v>-8.9674830549309498E-2</v>
      </c>
      <c r="AB32">
        <f t="shared" ca="1" si="24"/>
        <v>-6.5789934109959855E-2</v>
      </c>
      <c r="AC32">
        <f t="shared" ca="1" si="24"/>
        <v>-4.8125752310175116E-2</v>
      </c>
      <c r="AD32">
        <f t="shared" ca="1" si="24"/>
        <v>-3.5122644091757062E-2</v>
      </c>
      <c r="AE32">
        <f t="shared" ca="1" si="24"/>
        <v>-2.5581947297963828E-2</v>
      </c>
      <c r="AF32">
        <f t="shared" ca="1" si="24"/>
        <v>-1.8599899939824145E-2</v>
      </c>
      <c r="AG32">
        <f t="shared" ca="1" si="24"/>
        <v>-1.3501679566553512E-2</v>
      </c>
      <c r="AH32">
        <f t="shared" ca="1" si="24"/>
        <v>-9.7863697705486471E-3</v>
      </c>
      <c r="AI32">
        <f ca="1">(AH32*sa-AH$7*AH19*AH$10)/oa-AH$7*AH$10*flt2_*sa/oa^2</f>
        <v>-2.5391000222189809E-2</v>
      </c>
    </row>
    <row r="33" spans="1:35">
      <c r="A33" s="59" t="s">
        <v>128</v>
      </c>
      <c r="B33" s="60">
        <f ca="1">SUMPRODUCT(lz,wa)</f>
        <v>63.163733358064938</v>
      </c>
      <c r="C33" s="59"/>
      <c r="D33" s="61"/>
      <c r="E33" s="61"/>
      <c r="G33">
        <f ca="1">SUMPRODUCT(dlz3_,wa,ma)</f>
        <v>-153.21623122163396</v>
      </c>
      <c r="H33">
        <f ca="1">Ro/(reck-1)*phie/phif^2*dphif</f>
        <v>-18239.562815505116</v>
      </c>
      <c r="J33" s="8" t="s">
        <v>54</v>
      </c>
      <c r="K33">
        <v>0</v>
      </c>
      <c r="L33">
        <f t="shared" ref="L33:AH33" ca="1" si="25">K33*sa-K$7*K20*K$10</f>
        <v>-1.9370314622903338E-5</v>
      </c>
      <c r="M33">
        <f t="shared" ca="1" si="25"/>
        <v>-7.5844828832838097E-5</v>
      </c>
      <c r="N33">
        <f t="shared" ca="1" si="25"/>
        <v>-2.4223452032012883E-4</v>
      </c>
      <c r="O33">
        <f t="shared" ca="1" si="25"/>
        <v>-7.2937516776969418E-4</v>
      </c>
      <c r="P33">
        <f t="shared" ca="1" si="25"/>
        <v>-2.1771623135994648E-3</v>
      </c>
      <c r="Q33">
        <f t="shared" ca="1" si="25"/>
        <v>-1.4165966682081522E-2</v>
      </c>
      <c r="R33">
        <f t="shared" ca="1" si="25"/>
        <v>-0.16814780315408051</v>
      </c>
      <c r="S33">
        <f t="shared" ca="1" si="25"/>
        <v>-0.3660257439125002</v>
      </c>
      <c r="T33">
        <f t="shared" ca="1" si="25"/>
        <v>-0.49595187408333086</v>
      </c>
      <c r="U33">
        <f t="shared" ca="1" si="25"/>
        <v>-0.54901952145641453</v>
      </c>
      <c r="V33">
        <f t="shared" ca="1" si="25"/>
        <v>-0.53775387837615862</v>
      </c>
      <c r="W33">
        <f t="shared" ca="1" si="25"/>
        <v>-0.48001777915470001</v>
      </c>
      <c r="X33">
        <f t="shared" ca="1" si="25"/>
        <v>-0.39971191494337427</v>
      </c>
      <c r="Y33">
        <f t="shared" ca="1" si="25"/>
        <v>-0.31788512415173792</v>
      </c>
      <c r="Z33">
        <f t="shared" ca="1" si="25"/>
        <v>-0.24516295806997063</v>
      </c>
      <c r="AA33">
        <f t="shared" ca="1" si="25"/>
        <v>-0.18684669466293138</v>
      </c>
      <c r="AB33">
        <f t="shared" ca="1" si="25"/>
        <v>-0.14122518307158805</v>
      </c>
      <c r="AC33">
        <f t="shared" ca="1" si="25"/>
        <v>-0.10606616479828983</v>
      </c>
      <c r="AD33">
        <f t="shared" ca="1" si="25"/>
        <v>-7.9247395498258225E-2</v>
      </c>
      <c r="AE33">
        <f t="shared" ca="1" si="25"/>
        <v>-5.8948971692015566E-2</v>
      </c>
      <c r="AF33">
        <f t="shared" ca="1" si="25"/>
        <v>-4.3681842739522678E-2</v>
      </c>
      <c r="AG33">
        <f t="shared" ca="1" si="25"/>
        <v>-3.2259354461467701E-2</v>
      </c>
      <c r="AH33">
        <f t="shared" ca="1" si="25"/>
        <v>-2.3752034990359681E-2</v>
      </c>
      <c r="AI33">
        <f ca="1">(AH33*sa-AH$7*AH20*AH$10)/oa-AH$7*AH$10*flt3_*sa/oa^2</f>
        <v>-6.4349577482101378E-2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27.634323217725694</v>
      </c>
      <c r="F35" s="37"/>
      <c r="G35" s="1">
        <f ca="1">SUM(dqa11_)</f>
        <v>862.53489727952274</v>
      </c>
      <c r="H35" s="1">
        <f ca="1">SUM(dqa12_)</f>
        <v>867.99162370531019</v>
      </c>
      <c r="I35" s="11">
        <f ca="1">SUM(dqa13_)</f>
        <v>863.92138030469414</v>
      </c>
      <c r="J35" s="8" t="s">
        <v>62</v>
      </c>
      <c r="K35">
        <f ca="1">flt1_*qa1_+lz*wa*flt1_^2/za*(sa-oa/za)</f>
        <v>2.6343135435688109E-13</v>
      </c>
      <c r="L35">
        <f t="shared" ref="L35:AI35" ca="1" si="26">flt1_*qa1_+lz*wa*flt1_^2/za*(sa-oa/za)</f>
        <v>1.2929757682432516E-11</v>
      </c>
      <c r="M35">
        <f t="shared" ca="1" si="26"/>
        <v>2.8235446548977529E-10</v>
      </c>
      <c r="N35">
        <f t="shared" ca="1" si="26"/>
        <v>4.342410537658114E-9</v>
      </c>
      <c r="O35">
        <f t="shared" ca="1" si="26"/>
        <v>5.5610944296583375E-8</v>
      </c>
      <c r="P35">
        <f t="shared" ca="1" si="26"/>
        <v>1.2266242054583461E-6</v>
      </c>
      <c r="Q35">
        <f t="shared" ca="1" si="26"/>
        <v>1.5424891744597773E-4</v>
      </c>
      <c r="R35">
        <f t="shared" ca="1" si="26"/>
        <v>2.0742290892455002E-3</v>
      </c>
      <c r="S35">
        <f t="shared" ca="1" si="26"/>
        <v>1.7816544316896683E-2</v>
      </c>
      <c r="T35">
        <f t="shared" ca="1" si="26"/>
        <v>0.13626369201456853</v>
      </c>
      <c r="U35">
        <f t="shared" ca="1" si="26"/>
        <v>0.87761913589243179</v>
      </c>
      <c r="V35">
        <f t="shared" ca="1" si="26"/>
        <v>4.204692576805436</v>
      </c>
      <c r="W35">
        <f t="shared" ca="1" si="26"/>
        <v>13.19002985247519</v>
      </c>
      <c r="X35">
        <f t="shared" ca="1" si="26"/>
        <v>26.835304545009684</v>
      </c>
      <c r="Y35">
        <f t="shared" ca="1" si="26"/>
        <v>40.069299307312889</v>
      </c>
      <c r="Z35">
        <f t="shared" ca="1" si="26"/>
        <v>50.426728889806931</v>
      </c>
      <c r="AA35">
        <f t="shared" ca="1" si="26"/>
        <v>58.453040854990746</v>
      </c>
      <c r="AB35">
        <f t="shared" ca="1" si="26"/>
        <v>65.120166383913968</v>
      </c>
      <c r="AC35">
        <f t="shared" ca="1" si="26"/>
        <v>71.046685075087765</v>
      </c>
      <c r="AD35">
        <f t="shared" ca="1" si="26"/>
        <v>76.536768369067531</v>
      </c>
      <c r="AE35">
        <f t="shared" ca="1" si="26"/>
        <v>81.724227690421131</v>
      </c>
      <c r="AF35">
        <f t="shared" ca="1" si="26"/>
        <v>86.663923896797385</v>
      </c>
      <c r="AG35">
        <f t="shared" ca="1" si="26"/>
        <v>91.377014286447022</v>
      </c>
      <c r="AH35">
        <f t="shared" ca="1" si="26"/>
        <v>95.87138621002353</v>
      </c>
      <c r="AI35">
        <f t="shared" ca="1" si="26"/>
        <v>99.981700204259766</v>
      </c>
    </row>
    <row r="36" spans="1:35">
      <c r="A36" t="s">
        <v>33</v>
      </c>
      <c r="B36" s="1">
        <f ca="1">SUMPRODUCT(lz,ta1_)</f>
        <v>0.34434054493442978</v>
      </c>
      <c r="C36" s="29">
        <f ca="1">B11/(phi_t1/SUM(B$36:B$38))</f>
        <v>2.6296517394528203</v>
      </c>
      <c r="E36" s="38">
        <f ca="1">C36/AVERAGE(C$36:C$38)</f>
        <v>1.8835417314747986</v>
      </c>
      <c r="G36" s="1">
        <f ca="1">SUM(dqa21_)</f>
        <v>867.99162370531019</v>
      </c>
      <c r="H36" s="1">
        <f ca="1">SUM(dqa22_)</f>
        <v>34.511222604182642</v>
      </c>
      <c r="I36" s="11">
        <f ca="1">SUM(dqa23_)</f>
        <v>865.71299175078457</v>
      </c>
      <c r="J36" s="8" t="s">
        <v>63</v>
      </c>
      <c r="K36">
        <f t="shared" ref="K36:AI36" ca="1" si="27">flt2_*qa2_+lz*wa*flt2_^2/za*(sa-oa/za)</f>
        <v>2.6268349730368461E-7</v>
      </c>
      <c r="L36">
        <f t="shared" ca="1" si="27"/>
        <v>3.2665366765745308E-4</v>
      </c>
      <c r="M36">
        <f t="shared" ca="1" si="27"/>
        <v>5.0968738372495687E-2</v>
      </c>
      <c r="N36">
        <f t="shared" ca="1" si="27"/>
        <v>0.30747239048467767</v>
      </c>
      <c r="O36">
        <f t="shared" ca="1" si="27"/>
        <v>0.55157951439396991</v>
      </c>
      <c r="P36">
        <f t="shared" ca="1" si="27"/>
        <v>0.77654318526915</v>
      </c>
      <c r="Q36">
        <f t="shared" ca="1" si="27"/>
        <v>0.98638303040025455</v>
      </c>
      <c r="R36">
        <f t="shared" ca="1" si="27"/>
        <v>1.1689105237954296</v>
      </c>
      <c r="S36">
        <f t="shared" ca="1" si="27"/>
        <v>1.3162590274727586</v>
      </c>
      <c r="T36">
        <f t="shared" ca="1" si="27"/>
        <v>1.4181849112149323</v>
      </c>
      <c r="U36">
        <f t="shared" ca="1" si="27"/>
        <v>1.4698854239152763</v>
      </c>
      <c r="V36">
        <f t="shared" ca="1" si="27"/>
        <v>1.471955183706396</v>
      </c>
      <c r="W36">
        <f t="shared" ca="1" si="27"/>
        <v>1.434758403351847</v>
      </c>
      <c r="X36">
        <f t="shared" ca="1" si="27"/>
        <v>1.3756939093933489</v>
      </c>
      <c r="Y36">
        <f t="shared" ca="1" si="27"/>
        <v>1.3054186121999085</v>
      </c>
      <c r="Z36">
        <f t="shared" ca="1" si="27"/>
        <v>1.4551908427820786</v>
      </c>
      <c r="AA36">
        <f t="shared" ca="1" si="27"/>
        <v>1.6056121449529837</v>
      </c>
      <c r="AB36">
        <f t="shared" ca="1" si="27"/>
        <v>1.7541131137923878</v>
      </c>
      <c r="AC36">
        <f t="shared" ca="1" si="27"/>
        <v>1.8991469584941525</v>
      </c>
      <c r="AD36">
        <f t="shared" ca="1" si="27"/>
        <v>2.0398091485673207</v>
      </c>
      <c r="AE36">
        <f t="shared" ca="1" si="27"/>
        <v>2.1755539846548264</v>
      </c>
      <c r="AF36">
        <f t="shared" ca="1" si="27"/>
        <v>2.3060425537461402</v>
      </c>
      <c r="AG36">
        <f t="shared" ca="1" si="27"/>
        <v>2.4310667141972639</v>
      </c>
      <c r="AH36">
        <f t="shared" ca="1" si="27"/>
        <v>2.5505100825336715</v>
      </c>
      <c r="AI36">
        <f t="shared" ca="1" si="27"/>
        <v>2.659837290140219</v>
      </c>
    </row>
    <row r="37" spans="1:35">
      <c r="A37" t="s">
        <v>34</v>
      </c>
      <c r="B37" s="1">
        <f ca="1">SUMPRODUCT(lz,ta2_)</f>
        <v>1.1492714687461407</v>
      </c>
      <c r="C37" s="29">
        <f ca="1">B12/(phi_t2/SUM(B$36:B$38))</f>
        <v>1.2523272442052416</v>
      </c>
      <c r="E37" s="38">
        <f ca="1">C37/AVERAGE(C$36:C$38)</f>
        <v>0.89700494956576515</v>
      </c>
      <c r="G37" s="1">
        <f ca="1">SUM(dqa31_)</f>
        <v>863.92138030469414</v>
      </c>
      <c r="H37" s="1">
        <f ca="1">SUM(dqa32_)</f>
        <v>865.71299175078457</v>
      </c>
      <c r="I37" s="1">
        <f ca="1">SUM(dqa33_)</f>
        <v>383.64036969672645</v>
      </c>
      <c r="J37" s="8" t="s">
        <v>64</v>
      </c>
      <c r="K37">
        <f t="shared" ref="K37:AI37" ca="1" si="28">flt3_*qa3_+lz*wa*flt3_^2/za*(sa-oa/za)</f>
        <v>1.7021741831766101E-11</v>
      </c>
      <c r="L37">
        <f t="shared" ca="1" si="28"/>
        <v>1.628549783005416E-9</v>
      </c>
      <c r="M37">
        <f t="shared" ca="1" si="28"/>
        <v>6.9010957375725681E-8</v>
      </c>
      <c r="N37">
        <f t="shared" ca="1" si="28"/>
        <v>2.0247317110985483E-6</v>
      </c>
      <c r="O37">
        <f t="shared" ca="1" si="28"/>
        <v>4.94708937454301E-5</v>
      </c>
      <c r="P37">
        <f t="shared" ca="1" si="28"/>
        <v>7.3762634237159504E-3</v>
      </c>
      <c r="Q37">
        <f t="shared" ca="1" si="28"/>
        <v>2.6081829463788804</v>
      </c>
      <c r="R37">
        <f t="shared" ca="1" si="28"/>
        <v>11.6323548665135</v>
      </c>
      <c r="S37">
        <f t="shared" ca="1" si="28"/>
        <v>17.482491346141323</v>
      </c>
      <c r="T37">
        <f t="shared" ca="1" si="28"/>
        <v>19.721973496279833</v>
      </c>
      <c r="U37">
        <f t="shared" ca="1" si="28"/>
        <v>20.050037795265141</v>
      </c>
      <c r="V37">
        <f t="shared" ca="1" si="28"/>
        <v>19.366320685019886</v>
      </c>
      <c r="W37">
        <f t="shared" ca="1" si="28"/>
        <v>18.130531289674977</v>
      </c>
      <c r="X37">
        <f t="shared" ca="1" si="28"/>
        <v>16.679010661867601</v>
      </c>
      <c r="Y37">
        <f t="shared" ca="1" si="28"/>
        <v>15.180951691741067</v>
      </c>
      <c r="Z37">
        <f t="shared" ca="1" si="28"/>
        <v>16.922680341833303</v>
      </c>
      <c r="AA37">
        <f t="shared" ca="1" si="28"/>
        <v>18.671957164091143</v>
      </c>
      <c r="AB37">
        <f t="shared" ca="1" si="28"/>
        <v>20.398902078970682</v>
      </c>
      <c r="AC37">
        <f t="shared" ca="1" si="28"/>
        <v>22.085527173410352</v>
      </c>
      <c r="AD37">
        <f t="shared" ca="1" si="28"/>
        <v>23.721313496968801</v>
      </c>
      <c r="AE37">
        <f t="shared" ca="1" si="28"/>
        <v>25.299915012060545</v>
      </c>
      <c r="AF37">
        <f t="shared" ca="1" si="28"/>
        <v>26.817390437327653</v>
      </c>
      <c r="AG37">
        <f t="shared" ca="1" si="28"/>
        <v>28.271319255540597</v>
      </c>
      <c r="AH37">
        <f t="shared" ca="1" si="28"/>
        <v>29.660348021997432</v>
      </c>
      <c r="AI37">
        <f t="shared" ca="1" si="28"/>
        <v>30.931734105937981</v>
      </c>
    </row>
    <row r="38" spans="1:35">
      <c r="A38" t="s">
        <v>35</v>
      </c>
      <c r="B38" s="1">
        <f ca="1">SUMPRODUCT(lz,ta3_)</f>
        <v>1.2271153744338139</v>
      </c>
      <c r="C38" s="29">
        <f ca="1">B13/(phi_t3/SUM(B$36:B$38))</f>
        <v>0.30638333745784441</v>
      </c>
      <c r="E38" s="38">
        <f ca="1">C38/AVERAGE(C$36:C$38)</f>
        <v>0.21945331895943612</v>
      </c>
      <c r="G38" t="s">
        <v>69</v>
      </c>
      <c r="J38" s="8" t="s">
        <v>60</v>
      </c>
      <c r="K38">
        <f t="shared" ref="K38:AI38" ca="1" si="29">flt1_*qa1_+lz*wa*flt2_*flt1_/za*(sa-oa/za)</f>
        <v>-2.496953558231628E-10</v>
      </c>
      <c r="L38">
        <f t="shared" ca="1" si="29"/>
        <v>-4.6897820931158158E-8</v>
      </c>
      <c r="M38">
        <f t="shared" ca="1" si="29"/>
        <v>-2.1204762116082417E-6</v>
      </c>
      <c r="N38">
        <f t="shared" ca="1" si="29"/>
        <v>-1.5755416718427056E-5</v>
      </c>
      <c r="O38">
        <f t="shared" ca="1" si="29"/>
        <v>-5.8480730087761178E-5</v>
      </c>
      <c r="P38">
        <f t="shared" ca="1" si="29"/>
        <v>-2.5566814154953638E-4</v>
      </c>
      <c r="Q38">
        <f t="shared" ca="1" si="29"/>
        <v>-2.4056303498041151E-3</v>
      </c>
      <c r="R38">
        <f t="shared" ca="1" si="29"/>
        <v>-5.8190812355811E-3</v>
      </c>
      <c r="S38">
        <f t="shared" ca="1" si="29"/>
        <v>-2.0241381422565763E-4</v>
      </c>
      <c r="T38">
        <f t="shared" ca="1" si="29"/>
        <v>0.10404049063103246</v>
      </c>
      <c r="U38">
        <f t="shared" ca="1" si="29"/>
        <v>0.85579654265731031</v>
      </c>
      <c r="V38">
        <f t="shared" ca="1" si="29"/>
        <v>4.3185256151029368</v>
      </c>
      <c r="W38">
        <f t="shared" ca="1" si="29"/>
        <v>13.63656215250421</v>
      </c>
      <c r="X38">
        <f t="shared" ca="1" si="29"/>
        <v>27.605944971142495</v>
      </c>
      <c r="Y38">
        <f t="shared" ca="1" si="29"/>
        <v>40.940101919460908</v>
      </c>
      <c r="Z38">
        <f t="shared" ca="1" si="29"/>
        <v>51.207941821212913</v>
      </c>
      <c r="AA38">
        <f t="shared" ca="1" si="29"/>
        <v>59.088915642142311</v>
      </c>
      <c r="AB38">
        <f t="shared" ca="1" si="29"/>
        <v>65.614946673288017</v>
      </c>
      <c r="AC38">
        <f t="shared" ca="1" si="29"/>
        <v>71.423112588533243</v>
      </c>
      <c r="AD38">
        <f t="shared" ca="1" si="29"/>
        <v>76.819475174776912</v>
      </c>
      <c r="AE38">
        <f t="shared" ca="1" si="29"/>
        <v>81.934708692160029</v>
      </c>
      <c r="AF38">
        <f t="shared" ca="1" si="29"/>
        <v>86.819592209146606</v>
      </c>
      <c r="AG38">
        <f t="shared" ca="1" si="29"/>
        <v>91.491511090198827</v>
      </c>
      <c r="AH38">
        <f t="shared" ca="1" si="29"/>
        <v>95.955199878141514</v>
      </c>
      <c r="AI38">
        <f t="shared" ca="1" si="29"/>
        <v>100.18400744152261</v>
      </c>
    </row>
    <row r="39" spans="1:35">
      <c r="A39" s="1" t="s">
        <v>36</v>
      </c>
      <c r="B39" s="1">
        <f ca="1">SUMPRODUCT(lz,qa1_)</f>
        <v>19.294658559161284</v>
      </c>
      <c r="C39" s="23">
        <f ca="1">B4/(phi_q1/SUM(B$39:B$41))</f>
        <v>2.1275210866815764</v>
      </c>
      <c r="D39" s="21"/>
      <c r="E39" s="39">
        <f ca="1">C39/AVERAGE(C$39:C$41)</f>
        <v>1.7849223107907561</v>
      </c>
      <c r="G39" s="1">
        <f ca="1">re*phi_q1+f1_*phi_q1*$H31+f1_*re*G35</f>
        <v>1341127.1297277065</v>
      </c>
      <c r="H39" s="1">
        <f ca="1">re*phi_q1+f1_*phi_q1*$H32+f1_*re*H35</f>
        <v>1343532.3751703827</v>
      </c>
      <c r="I39" s="1">
        <f ca="1">re*phi_q1+f1_*phi_q1*$H33+f1_*re*I35</f>
        <v>1308030.1229554946</v>
      </c>
      <c r="J39" s="8" t="s">
        <v>66</v>
      </c>
      <c r="K39">
        <f t="shared" ref="K39:AI39" ca="1" si="30">flt1_*qa1_+lz*wa*flt3_*flt1_/za*(sa-oa/za)</f>
        <v>-1.5001410059888913E-12</v>
      </c>
      <c r="L39">
        <f t="shared" ca="1" si="30"/>
        <v>-8.2500168535917568E-11</v>
      </c>
      <c r="M39">
        <f t="shared" ca="1" si="30"/>
        <v>-2.0277041935065735E-9</v>
      </c>
      <c r="N39">
        <f t="shared" ca="1" si="30"/>
        <v>-3.4231064283234991E-8</v>
      </c>
      <c r="O39">
        <f t="shared" ca="1" si="30"/>
        <v>-4.8033830437612425E-7</v>
      </c>
      <c r="P39">
        <f t="shared" ca="1" si="30"/>
        <v>-2.351908877259679E-5</v>
      </c>
      <c r="Q39">
        <f t="shared" ca="1" si="30"/>
        <v>-4.0286571423922253E-3</v>
      </c>
      <c r="R39">
        <f t="shared" ca="1" si="30"/>
        <v>-2.3573860203225324E-2</v>
      </c>
      <c r="S39">
        <f t="shared" ca="1" si="30"/>
        <v>-5.4126155264401621E-2</v>
      </c>
      <c r="T39">
        <f t="shared" ca="1" si="30"/>
        <v>-2.3406154688985659E-2</v>
      </c>
      <c r="U39">
        <f t="shared" ca="1" si="30"/>
        <v>0.59721667163538039</v>
      </c>
      <c r="V39">
        <f t="shared" ca="1" si="30"/>
        <v>3.8851765951687858</v>
      </c>
      <c r="W39">
        <f t="shared" ca="1" si="30"/>
        <v>13.075151508020889</v>
      </c>
      <c r="X39">
        <f t="shared" ca="1" si="30"/>
        <v>27.046126108497251</v>
      </c>
      <c r="Y39">
        <f t="shared" ca="1" si="30"/>
        <v>40.477844764527433</v>
      </c>
      <c r="Z39">
        <f t="shared" ca="1" si="30"/>
        <v>50.822639892675653</v>
      </c>
      <c r="AA39">
        <f t="shared" ca="1" si="30"/>
        <v>58.784455458557616</v>
      </c>
      <c r="AB39">
        <f t="shared" ca="1" si="30"/>
        <v>65.380800519478711</v>
      </c>
      <c r="AC39">
        <f t="shared" ca="1" si="30"/>
        <v>71.245789040069084</v>
      </c>
      <c r="AD39">
        <f t="shared" ca="1" si="30"/>
        <v>76.686537776953131</v>
      </c>
      <c r="AE39">
        <f t="shared" ca="1" si="30"/>
        <v>81.835802193307742</v>
      </c>
      <c r="AF39">
        <f t="shared" ca="1" si="30"/>
        <v>86.746461702575175</v>
      </c>
      <c r="AG39">
        <f t="shared" ca="1" si="30"/>
        <v>91.437727415587673</v>
      </c>
      <c r="AH39">
        <f t="shared" ca="1" si="30"/>
        <v>95.915830469995143</v>
      </c>
      <c r="AI39">
        <f t="shared" ca="1" si="30"/>
        <v>100.08897905071332</v>
      </c>
    </row>
    <row r="40" spans="1:35">
      <c r="A40" s="1" t="s">
        <v>37</v>
      </c>
      <c r="B40" s="1">
        <f ca="1">SUMPRODUCT(lz,qa2_)</f>
        <v>13.723778212346723</v>
      </c>
      <c r="C40" s="23">
        <f ca="1">B5/(phi_q2/SUM(B$39:B$41))</f>
        <v>1.1155264325003462</v>
      </c>
      <c r="D40" s="21"/>
      <c r="E40" s="39">
        <f ca="1">C40/AVERAGE(C$39:C$41)</f>
        <v>0.93589108475177063</v>
      </c>
      <c r="G40" s="1">
        <f ca="1">re*phi_q1+f1_*phi_q1*$H32+f1_*re*G36</f>
        <v>1343532.3751703827</v>
      </c>
      <c r="H40" s="1">
        <f ca="1">re*phi_q2+f2_*phi_q2*$H32+f2_*re*H36</f>
        <v>117473.688930542</v>
      </c>
      <c r="I40" s="1">
        <f ca="1">re*phi_q3+f3_*phi_q3*$H33+f3_*re*I36</f>
        <v>399374.33988935704</v>
      </c>
      <c r="J40" s="8" t="s">
        <v>65</v>
      </c>
      <c r="K40">
        <f t="shared" ref="K40:AI40" ca="1" si="31">flt1_*qa1_+lz*wa*flt1_*flt2_/za*(sa-oa/za)</f>
        <v>-2.496953558231628E-10</v>
      </c>
      <c r="L40">
        <f t="shared" ca="1" si="31"/>
        <v>-4.6897820931158165E-8</v>
      </c>
      <c r="M40">
        <f t="shared" ca="1" si="31"/>
        <v>-2.1204762116082417E-6</v>
      </c>
      <c r="N40">
        <f t="shared" ca="1" si="31"/>
        <v>-1.5755416718427056E-5</v>
      </c>
      <c r="O40">
        <f t="shared" ca="1" si="31"/>
        <v>-5.8480730087761171E-5</v>
      </c>
      <c r="P40">
        <f t="shared" ca="1" si="31"/>
        <v>-2.5566814154953638E-4</v>
      </c>
      <c r="Q40">
        <f t="shared" ca="1" si="31"/>
        <v>-2.4056303498041151E-3</v>
      </c>
      <c r="R40">
        <f t="shared" ca="1" si="31"/>
        <v>-5.8190812355810983E-3</v>
      </c>
      <c r="S40">
        <f t="shared" ca="1" si="31"/>
        <v>-2.024138142256611E-4</v>
      </c>
      <c r="T40">
        <f t="shared" ca="1" si="31"/>
        <v>0.10404049063103246</v>
      </c>
      <c r="U40">
        <f t="shared" ca="1" si="31"/>
        <v>0.85579654265731031</v>
      </c>
      <c r="V40">
        <f t="shared" ca="1" si="31"/>
        <v>4.3185256151029368</v>
      </c>
      <c r="W40">
        <f t="shared" ca="1" si="31"/>
        <v>13.63656215250421</v>
      </c>
      <c r="X40">
        <f t="shared" ca="1" si="31"/>
        <v>27.605944971142495</v>
      </c>
      <c r="Y40">
        <f t="shared" ca="1" si="31"/>
        <v>40.940101919460908</v>
      </c>
      <c r="Z40">
        <f t="shared" ca="1" si="31"/>
        <v>51.207941821212913</v>
      </c>
      <c r="AA40">
        <f t="shared" ca="1" si="31"/>
        <v>59.088915642142311</v>
      </c>
      <c r="AB40">
        <f t="shared" ca="1" si="31"/>
        <v>65.614946673288017</v>
      </c>
      <c r="AC40">
        <f t="shared" ca="1" si="31"/>
        <v>71.423112588533243</v>
      </c>
      <c r="AD40">
        <f t="shared" ca="1" si="31"/>
        <v>76.819475174776912</v>
      </c>
      <c r="AE40">
        <f t="shared" ca="1" si="31"/>
        <v>81.934708692160029</v>
      </c>
      <c r="AF40">
        <f t="shared" ca="1" si="31"/>
        <v>86.819592209146606</v>
      </c>
      <c r="AG40">
        <f t="shared" ca="1" si="31"/>
        <v>91.491511090198827</v>
      </c>
      <c r="AH40">
        <f t="shared" ca="1" si="31"/>
        <v>95.955199878141514</v>
      </c>
      <c r="AI40">
        <f t="shared" ca="1" si="31"/>
        <v>100.18400744152261</v>
      </c>
    </row>
    <row r="41" spans="1:35">
      <c r="A41" s="1" t="s">
        <v>38</v>
      </c>
      <c r="B41" s="1">
        <f ca="1">SUMPRODUCT(lz,qa3_)</f>
        <v>34.981530522272656</v>
      </c>
      <c r="C41" s="23">
        <f ca="1">B6/(phi_q3/SUM(B$39:B$41))</f>
        <v>0.33277380450197847</v>
      </c>
      <c r="D41" s="21"/>
      <c r="E41" s="39">
        <f ca="1">C41/AVERAGE(C$39:C$41)</f>
        <v>0.27918660445747318</v>
      </c>
      <c r="G41" s="1">
        <f ca="1">re*phi_q1+f1_*phi_q1*$H33+f1_*re*G37</f>
        <v>1308030.1229554946</v>
      </c>
      <c r="H41" s="1">
        <f ca="1">re*phi_q3+f3_*phi_q3*$H33+f3_*re*H37</f>
        <v>399374.33988935704</v>
      </c>
      <c r="I41" s="1">
        <f ca="1">re*phi_q3+f1_*phi_q3*$H33+f3_*re*I37</f>
        <v>216446.38210319669</v>
      </c>
      <c r="J41" s="8" t="s">
        <v>67</v>
      </c>
      <c r="K41">
        <f t="shared" ref="K41:AI41" ca="1" si="32">flt1_*qa1_+lz*wa*flt3_*flt2_/za*(sa-oa/za)</f>
        <v>-2.0107626282280271E-9</v>
      </c>
      <c r="L41">
        <f t="shared" ca="1" si="32"/>
        <v>-5.2655744699569588E-7</v>
      </c>
      <c r="M41">
        <f t="shared" ca="1" si="32"/>
        <v>-3.3157324943096561E-5</v>
      </c>
      <c r="N41">
        <f t="shared" ca="1" si="32"/>
        <v>-3.4033887675137124E-4</v>
      </c>
      <c r="O41">
        <f t="shared" ca="1" si="32"/>
        <v>-1.7463841600065186E-3</v>
      </c>
      <c r="P41">
        <f t="shared" ca="1" si="32"/>
        <v>-1.9944820173068336E-2</v>
      </c>
      <c r="Q41">
        <f t="shared" ca="1" si="32"/>
        <v>-0.33690079562255182</v>
      </c>
      <c r="R41">
        <f t="shared" ca="1" si="32"/>
        <v>-0.61467886768726199</v>
      </c>
      <c r="S41">
        <f t="shared" ca="1" si="32"/>
        <v>-0.61856851769420973</v>
      </c>
      <c r="T41">
        <f t="shared" ca="1" si="32"/>
        <v>-0.41106865723231067</v>
      </c>
      <c r="U41">
        <f t="shared" ca="1" si="32"/>
        <v>0.49291028200367665</v>
      </c>
      <c r="V41">
        <f t="shared" ca="1" si="32"/>
        <v>4.129477324276718</v>
      </c>
      <c r="W41">
        <f t="shared" ca="1" si="32"/>
        <v>13.598673891934162</v>
      </c>
      <c r="X41">
        <f t="shared" ca="1" si="32"/>
        <v>27.653678404457139</v>
      </c>
      <c r="Y41">
        <f t="shared" ca="1" si="32"/>
        <v>41.013842985547619</v>
      </c>
      <c r="Z41">
        <f t="shared" ca="1" si="32"/>
        <v>51.275197219600528</v>
      </c>
      <c r="AA41">
        <f t="shared" ca="1" si="32"/>
        <v>59.143842962091668</v>
      </c>
      <c r="AB41">
        <f t="shared" ca="1" si="32"/>
        <v>65.657722887122162</v>
      </c>
      <c r="AC41">
        <f t="shared" ca="1" si="32"/>
        <v>71.45566530872658</v>
      </c>
      <c r="AD41">
        <f t="shared" ca="1" si="32"/>
        <v>76.843925397522099</v>
      </c>
      <c r="AE41">
        <f t="shared" ca="1" si="32"/>
        <v>81.952913012963734</v>
      </c>
      <c r="AF41">
        <f t="shared" ca="1" si="32"/>
        <v>86.833056001448114</v>
      </c>
      <c r="AG41">
        <f t="shared" ca="1" si="32"/>
        <v>91.501413994305892</v>
      </c>
      <c r="AH41">
        <f t="shared" ca="1" si="32"/>
        <v>95.962448988279647</v>
      </c>
      <c r="AI41">
        <f t="shared" ca="1" si="32"/>
        <v>100.2015051578442</v>
      </c>
    </row>
    <row r="42" spans="1:35">
      <c r="A42" s="1" t="s">
        <v>96</v>
      </c>
      <c r="B42" s="1">
        <f ca="1">SUMPRODUCT(lz/SUM(lz),len,ta1_)</f>
        <v>7.7759487108837062</v>
      </c>
      <c r="J42" s="8" t="s">
        <v>68</v>
      </c>
      <c r="K42">
        <f t="shared" ref="K42:AI42" ca="1" si="33">flt1_*qa1_+lz*wa*flt1_*flt3_/za*(sa-oa/za)</f>
        <v>-1.5001410059888913E-12</v>
      </c>
      <c r="L42">
        <f t="shared" ca="1" si="33"/>
        <v>-8.2500168535917581E-11</v>
      </c>
      <c r="M42">
        <f t="shared" ca="1" si="33"/>
        <v>-2.0277041935065739E-9</v>
      </c>
      <c r="N42">
        <f t="shared" ca="1" si="33"/>
        <v>-3.4231064283234991E-8</v>
      </c>
      <c r="O42">
        <f t="shared" ca="1" si="33"/>
        <v>-4.8033830437612425E-7</v>
      </c>
      <c r="P42">
        <f t="shared" ca="1" si="33"/>
        <v>-2.3519088772596793E-5</v>
      </c>
      <c r="Q42">
        <f t="shared" ca="1" si="33"/>
        <v>-4.0286571423922253E-3</v>
      </c>
      <c r="R42">
        <f t="shared" ca="1" si="33"/>
        <v>-2.3573860203225324E-2</v>
      </c>
      <c r="S42">
        <f t="shared" ca="1" si="33"/>
        <v>-5.4126155264401621E-2</v>
      </c>
      <c r="T42">
        <f t="shared" ca="1" si="33"/>
        <v>-2.3406154688985659E-2</v>
      </c>
      <c r="U42">
        <f t="shared" ca="1" si="33"/>
        <v>0.59721667163538039</v>
      </c>
      <c r="V42">
        <f t="shared" ca="1" si="33"/>
        <v>3.8851765951687858</v>
      </c>
      <c r="W42">
        <f t="shared" ca="1" si="33"/>
        <v>13.075151508020889</v>
      </c>
      <c r="X42">
        <f t="shared" ca="1" si="33"/>
        <v>27.046126108497251</v>
      </c>
      <c r="Y42">
        <f t="shared" ca="1" si="33"/>
        <v>40.477844764527433</v>
      </c>
      <c r="Z42">
        <f t="shared" ca="1" si="33"/>
        <v>50.822639892675653</v>
      </c>
      <c r="AA42">
        <f t="shared" ca="1" si="33"/>
        <v>58.784455458557616</v>
      </c>
      <c r="AB42">
        <f t="shared" ca="1" si="33"/>
        <v>65.380800519478711</v>
      </c>
      <c r="AC42">
        <f t="shared" ca="1" si="33"/>
        <v>71.245789040069084</v>
      </c>
      <c r="AD42">
        <f t="shared" ca="1" si="33"/>
        <v>76.686537776953131</v>
      </c>
      <c r="AE42">
        <f t="shared" ca="1" si="33"/>
        <v>81.835802193307742</v>
      </c>
      <c r="AF42">
        <f t="shared" ca="1" si="33"/>
        <v>86.746461702575175</v>
      </c>
      <c r="AG42">
        <f t="shared" ca="1" si="33"/>
        <v>91.437727415587673</v>
      </c>
      <c r="AH42">
        <f t="shared" ca="1" si="33"/>
        <v>95.915830469995143</v>
      </c>
      <c r="AI42">
        <f t="shared" ca="1" si="33"/>
        <v>100.08897905071332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-2.0107626282280271E-9</v>
      </c>
      <c r="L43">
        <f t="shared" ca="1" si="34"/>
        <v>-5.2655744699569588E-7</v>
      </c>
      <c r="M43">
        <f t="shared" ca="1" si="34"/>
        <v>-3.3157324943096561E-5</v>
      </c>
      <c r="N43">
        <f t="shared" ca="1" si="34"/>
        <v>-3.4033887675137119E-4</v>
      </c>
      <c r="O43">
        <f t="shared" ca="1" si="34"/>
        <v>-1.7463841600065188E-3</v>
      </c>
      <c r="P43">
        <f t="shared" ca="1" si="34"/>
        <v>-1.9944820173068336E-2</v>
      </c>
      <c r="Q43">
        <f t="shared" ca="1" si="34"/>
        <v>-0.33690079562255182</v>
      </c>
      <c r="R43">
        <f t="shared" ca="1" si="34"/>
        <v>-0.61467886768726199</v>
      </c>
      <c r="S43">
        <f t="shared" ca="1" si="34"/>
        <v>-0.61856851769420973</v>
      </c>
      <c r="T43">
        <f t="shared" ca="1" si="34"/>
        <v>-0.41106865723231067</v>
      </c>
      <c r="U43">
        <f t="shared" ca="1" si="34"/>
        <v>0.49291028200367659</v>
      </c>
      <c r="V43">
        <f t="shared" ca="1" si="34"/>
        <v>4.129477324276718</v>
      </c>
      <c r="W43">
        <f t="shared" ca="1" si="34"/>
        <v>13.598673891934162</v>
      </c>
      <c r="X43">
        <f t="shared" ca="1" si="34"/>
        <v>27.653678404457139</v>
      </c>
      <c r="Y43">
        <f t="shared" ca="1" si="34"/>
        <v>41.013842985547619</v>
      </c>
      <c r="Z43">
        <f t="shared" ca="1" si="34"/>
        <v>51.275197219600528</v>
      </c>
      <c r="AA43">
        <f t="shared" ca="1" si="34"/>
        <v>59.143842962091668</v>
      </c>
      <c r="AB43">
        <f t="shared" ca="1" si="34"/>
        <v>65.657722887122162</v>
      </c>
      <c r="AC43">
        <f t="shared" ca="1" si="34"/>
        <v>71.45566530872658</v>
      </c>
      <c r="AD43">
        <f t="shared" ca="1" si="34"/>
        <v>76.843925397522099</v>
      </c>
      <c r="AE43">
        <f t="shared" ca="1" si="34"/>
        <v>81.952913012963734</v>
      </c>
      <c r="AF43">
        <f t="shared" ca="1" si="34"/>
        <v>86.833056001448114</v>
      </c>
      <c r="AG43">
        <f t="shared" ca="1" si="34"/>
        <v>91.501413994305892</v>
      </c>
      <c r="AH43">
        <f t="shared" ca="1" si="34"/>
        <v>95.962448988279647</v>
      </c>
      <c r="AI43">
        <f t="shared" ca="1" si="34"/>
        <v>100.2015051578442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0.27896177988215748</v>
      </c>
      <c r="G46" s="32" t="s">
        <v>94</v>
      </c>
      <c r="H46" s="32"/>
      <c r="I46" s="32"/>
      <c r="J46" s="8" t="s">
        <v>75</v>
      </c>
      <c r="K46">
        <f t="shared" ref="K46:AI46" ca="1" si="35">lz*qa1_</f>
        <v>1.8354442067584003E-7</v>
      </c>
      <c r="L46">
        <f t="shared" ca="1" si="35"/>
        <v>2.6666915119481806E-6</v>
      </c>
      <c r="M46">
        <f t="shared" ca="1" si="35"/>
        <v>1.763392343068344E-5</v>
      </c>
      <c r="N46">
        <f t="shared" ca="1" si="35"/>
        <v>8.1745813560120826E-5</v>
      </c>
      <c r="O46">
        <f t="shared" ca="1" si="35"/>
        <v>3.1368634744727492E-4</v>
      </c>
      <c r="P46">
        <f t="shared" ca="1" si="35"/>
        <v>1.4997226536258253E-3</v>
      </c>
      <c r="Q46">
        <f t="shared" ca="1" si="35"/>
        <v>1.649330986800825E-2</v>
      </c>
      <c r="R46">
        <f t="shared" ca="1" si="35"/>
        <v>5.7218062129719326E-2</v>
      </c>
      <c r="S46">
        <f t="shared" ca="1" si="35"/>
        <v>0.15437956487635229</v>
      </c>
      <c r="T46">
        <f t="shared" ca="1" si="35"/>
        <v>0.38565537665247934</v>
      </c>
      <c r="U46">
        <f t="shared" ca="1" si="35"/>
        <v>0.86631380653834356</v>
      </c>
      <c r="V46">
        <f t="shared" ca="1" si="35"/>
        <v>1.6303480477354375</v>
      </c>
      <c r="W46">
        <f t="shared" ca="1" si="35"/>
        <v>2.3833400178988873</v>
      </c>
      <c r="X46">
        <f t="shared" ca="1" si="35"/>
        <v>2.6817378481308145</v>
      </c>
      <c r="Y46">
        <f t="shared" ca="1" si="35"/>
        <v>2.4935994181488939</v>
      </c>
      <c r="Z46">
        <f t="shared" ca="1" si="35"/>
        <v>2.0822622178984411</v>
      </c>
      <c r="AA46">
        <f t="shared" ca="1" si="35"/>
        <v>1.6466483589282184</v>
      </c>
      <c r="AB46">
        <f t="shared" ca="1" si="35"/>
        <v>1.2667560070164257</v>
      </c>
      <c r="AC46">
        <f t="shared" ca="1" si="35"/>
        <v>0.95945775461400973</v>
      </c>
      <c r="AD46">
        <f t="shared" ca="1" si="35"/>
        <v>0.71932888783296278</v>
      </c>
      <c r="AE46">
        <f t="shared" ca="1" si="35"/>
        <v>0.53519646092861961</v>
      </c>
      <c r="AF46">
        <f t="shared" ca="1" si="35"/>
        <v>0.39572187204410458</v>
      </c>
      <c r="AG46">
        <f t="shared" ca="1" si="35"/>
        <v>0.29103355153395077</v>
      </c>
      <c r="AH46">
        <f t="shared" ca="1" si="35"/>
        <v>0.2130354253057449</v>
      </c>
      <c r="AI46">
        <f t="shared" ca="1" si="35"/>
        <v>0.51421693210587971</v>
      </c>
    </row>
    <row r="47" spans="1:35" ht="19" thickTop="1">
      <c r="A47" s="1" t="s">
        <v>41</v>
      </c>
      <c r="B47" s="11">
        <f ca="1">MAX(0,Ro*(reck-1/spr)/(reck-1))</f>
        <v>7722.7456992196003</v>
      </c>
      <c r="F47" t="s">
        <v>84</v>
      </c>
      <c r="G47" s="31">
        <f ca="1">G39/G53</f>
        <v>0.99999999999999978</v>
      </c>
      <c r="H47" s="31">
        <f ca="1">H53/H39</f>
        <v>0.29543173245833781</v>
      </c>
      <c r="I47" s="31">
        <f ca="1">I53/I39</f>
        <v>0.41190057090020399</v>
      </c>
      <c r="J47" s="8" t="s">
        <v>76</v>
      </c>
      <c r="K47">
        <f t="shared" ref="K47:AI47" ca="1" si="36">lz*qa2_</f>
        <v>1.8328370275737265E-4</v>
      </c>
      <c r="L47">
        <f t="shared" ca="1" si="36"/>
        <v>1.3403596797548231E-2</v>
      </c>
      <c r="M47">
        <f t="shared" ca="1" si="36"/>
        <v>0.23692100281927714</v>
      </c>
      <c r="N47">
        <f t="shared" ca="1" si="36"/>
        <v>0.68786488984343053</v>
      </c>
      <c r="O47">
        <f t="shared" ca="1" si="36"/>
        <v>0.98791492494148314</v>
      </c>
      <c r="P47">
        <f t="shared" ca="1" si="36"/>
        <v>1.1932679958964119</v>
      </c>
      <c r="Q47">
        <f t="shared" ca="1" si="36"/>
        <v>1.3189233349427547</v>
      </c>
      <c r="R47">
        <f t="shared" ca="1" si="36"/>
        <v>1.3582991189798603</v>
      </c>
      <c r="S47">
        <f t="shared" ca="1" si="36"/>
        <v>1.3269322753645052</v>
      </c>
      <c r="T47">
        <f t="shared" ca="1" si="36"/>
        <v>1.244158596865198</v>
      </c>
      <c r="U47">
        <f t="shared" ca="1" si="36"/>
        <v>1.1211505527965744</v>
      </c>
      <c r="V47">
        <f t="shared" ca="1" si="36"/>
        <v>0.96462940694699084</v>
      </c>
      <c r="W47">
        <f t="shared" ca="1" si="36"/>
        <v>0.78605422156914473</v>
      </c>
      <c r="X47">
        <f t="shared" ca="1" si="36"/>
        <v>0.60718909690022294</v>
      </c>
      <c r="Y47">
        <f t="shared" ca="1" si="36"/>
        <v>0.45008621743390109</v>
      </c>
      <c r="Z47">
        <f t="shared" ca="1" si="36"/>
        <v>0.35372438249380644</v>
      </c>
      <c r="AA47">
        <f t="shared" ca="1" si="36"/>
        <v>0.27290885881765004</v>
      </c>
      <c r="AB47">
        <f t="shared" ca="1" si="36"/>
        <v>0.20790456213424491</v>
      </c>
      <c r="AC47">
        <f t="shared" ca="1" si="36"/>
        <v>0.15686759340133991</v>
      </c>
      <c r="AD47">
        <f t="shared" ca="1" si="36"/>
        <v>0.11743220316398362</v>
      </c>
      <c r="AE47">
        <f t="shared" ca="1" si="36"/>
        <v>8.7321814712913851E-2</v>
      </c>
      <c r="AF47">
        <f t="shared" ca="1" si="36"/>
        <v>6.4551232543162251E-2</v>
      </c>
      <c r="AG47">
        <f t="shared" ca="1" si="36"/>
        <v>4.747041362509067E-2</v>
      </c>
      <c r="AH47">
        <f t="shared" ca="1" si="36"/>
        <v>3.4747282604101343E-2</v>
      </c>
      <c r="AI47">
        <f t="shared" ca="1" si="36"/>
        <v>8.3871353050372133E-2</v>
      </c>
    </row>
    <row r="48" spans="1:35">
      <c r="A48" s="1" t="s">
        <v>43</v>
      </c>
      <c r="B48" s="1">
        <f ca="1">f1_*re*phi_q1</f>
        <v>27326.822963582115</v>
      </c>
      <c r="C48" s="20">
        <f ca="1">ye_1/SUM(ye_1,ye_2,ye_3)</f>
        <v>0.645174485359577</v>
      </c>
      <c r="F48" t="s">
        <v>85</v>
      </c>
      <c r="G48" s="31">
        <f ca="1">G40/G54</f>
        <v>3.3848767418409302</v>
      </c>
      <c r="H48" s="31">
        <f t="shared" ref="H48:I49" ca="1" si="37">H40/H54</f>
        <v>1.0000000000000002</v>
      </c>
      <c r="I48" s="31">
        <f ca="1">I54/I40</f>
        <v>0.39926874179263583</v>
      </c>
      <c r="J48" s="8" t="s">
        <v>77</v>
      </c>
      <c r="K48">
        <f t="shared" ref="K48:AI48" ca="1" si="38">lz*qa3_</f>
        <v>1.475398898222986E-6</v>
      </c>
      <c r="L48">
        <f t="shared" ca="1" si="38"/>
        <v>2.9928028252409451E-5</v>
      </c>
      <c r="M48">
        <f t="shared" ca="1" si="38"/>
        <v>2.756834192186119E-4</v>
      </c>
      <c r="N48">
        <f t="shared" ca="1" si="38"/>
        <v>1.7651589654598425E-3</v>
      </c>
      <c r="O48">
        <f t="shared" ca="1" si="38"/>
        <v>9.3560031797008097E-3</v>
      </c>
      <c r="P48">
        <f t="shared" ca="1" si="38"/>
        <v>0.11629830774486366</v>
      </c>
      <c r="Q48">
        <f t="shared" ca="1" si="38"/>
        <v>2.1446961958786201</v>
      </c>
      <c r="R48">
        <f t="shared" ca="1" si="38"/>
        <v>4.284879429740756</v>
      </c>
      <c r="S48">
        <f t="shared" ca="1" si="38"/>
        <v>4.8359270095194198</v>
      </c>
      <c r="T48">
        <f t="shared" ca="1" si="38"/>
        <v>4.6396423078178524</v>
      </c>
      <c r="U48">
        <f t="shared" ca="1" si="38"/>
        <v>4.1407574468594088</v>
      </c>
      <c r="V48">
        <f t="shared" ca="1" si="38"/>
        <v>3.4989421587827887</v>
      </c>
      <c r="W48">
        <f t="shared" ca="1" si="38"/>
        <v>2.7942700847513979</v>
      </c>
      <c r="X48">
        <f t="shared" ca="1" si="38"/>
        <v>2.114210378205124</v>
      </c>
      <c r="Y48">
        <f t="shared" ca="1" si="38"/>
        <v>1.5348654602308343</v>
      </c>
      <c r="Z48">
        <f t="shared" ca="1" si="38"/>
        <v>1.2062563040179211</v>
      </c>
      <c r="AA48">
        <f t="shared" ca="1" si="38"/>
        <v>0.93066253745426009</v>
      </c>
      <c r="AB48">
        <f t="shared" ca="1" si="38"/>
        <v>0.70898756523494577</v>
      </c>
      <c r="AC48">
        <f t="shared" ca="1" si="38"/>
        <v>0.53494339887581699</v>
      </c>
      <c r="AD48">
        <f t="shared" ca="1" si="38"/>
        <v>0.40046245713284628</v>
      </c>
      <c r="AE48">
        <f t="shared" ca="1" si="38"/>
        <v>0.29778125198248534</v>
      </c>
      <c r="AF48">
        <f t="shared" ca="1" si="38"/>
        <v>0.22012995156950946</v>
      </c>
      <c r="AG48">
        <f t="shared" ca="1" si="38"/>
        <v>0.16188164719068091</v>
      </c>
      <c r="AH48">
        <f t="shared" ca="1" si="38"/>
        <v>0.11849375039738287</v>
      </c>
      <c r="AI48">
        <f t="shared" ca="1" si="38"/>
        <v>0.28601462989421017</v>
      </c>
    </row>
    <row r="49" spans="1:47">
      <c r="A49" s="1" t="s">
        <v>44</v>
      </c>
      <c r="B49" s="1">
        <f ca="1">f2_*re*phi_q2</f>
        <v>9256.4685328165433</v>
      </c>
      <c r="C49" s="20">
        <f ca="1">ye_2/SUM(ye_1,ye_2,ye_3)</f>
        <v>0.21854122339306845</v>
      </c>
      <c r="F49" t="s">
        <v>86</v>
      </c>
      <c r="G49" s="31">
        <f ca="1">G41/G55</f>
        <v>2.4277703665583941</v>
      </c>
      <c r="H49" s="31">
        <f t="shared" ca="1" si="37"/>
        <v>2.5045787343887791</v>
      </c>
      <c r="I49" s="31">
        <f t="shared" ca="1" si="37"/>
        <v>0.99999999999999989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5772.4178251687936</v>
      </c>
      <c r="C50" s="20">
        <f ca="1">ye_3/SUM(ye_1,ye_2,ye_3)</f>
        <v>0.13628429124735469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42355.709321567447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1158.0704338371249</v>
      </c>
      <c r="H52" s="57">
        <f ca="1">H40^0.5</f>
        <v>342.74434923210913</v>
      </c>
      <c r="I52" s="11">
        <f ca="1">I41^0.5</f>
        <v>465.23798437272586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3.5384854076372796</v>
      </c>
      <c r="C53">
        <f ca="1">AVERAGE(B53:B55)/B53</f>
        <v>0.51665609985732119</v>
      </c>
      <c r="G53">
        <f ca="1">G$52*$J53</f>
        <v>1341127.1297277068</v>
      </c>
      <c r="H53">
        <f t="shared" ref="H53:I53" ca="1" si="39">H$52*$J53</f>
        <v>396922.09721045167</v>
      </c>
      <c r="I53">
        <f t="shared" ca="1" si="39"/>
        <v>538778.3544000322</v>
      </c>
      <c r="J53">
        <f t="array" aca="1" ref="J53:J55" ca="1">TRANSPOSE(G52:I52)</f>
        <v>1158.0704338371249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1.1985981273152539</v>
      </c>
      <c r="C54">
        <f ca="1">AVERAGE(B53:B55)/B54</f>
        <v>1.5252652481669315</v>
      </c>
      <c r="G54">
        <f t="shared" ref="G54:I55" ca="1" si="40">G$52*$J54</f>
        <v>396922.09721045167</v>
      </c>
      <c r="H54">
        <f t="shared" ca="1" si="40"/>
        <v>117473.68893054199</v>
      </c>
      <c r="I54">
        <f ca="1">I$52*$J54</f>
        <v>159457.69019188808</v>
      </c>
      <c r="J54">
        <f ca="1"/>
        <v>342.74434923210913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0.74745667538322647</v>
      </c>
      <c r="C55">
        <f ca="1">AVERAGE(B53:B55)/B55</f>
        <v>2.445867607208938</v>
      </c>
      <c r="G55">
        <f t="shared" ca="1" si="40"/>
        <v>538778.3544000322</v>
      </c>
      <c r="H55">
        <f t="shared" ca="1" si="40"/>
        <v>159457.69019188808</v>
      </c>
      <c r="I55">
        <f t="shared" ca="1" si="40"/>
        <v>216446.38210319672</v>
      </c>
      <c r="J55">
        <f ca="1"/>
        <v>465.23798437272586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6.3149290243844206E-2</v>
      </c>
      <c r="C56">
        <f ca="1">AVERAGE(B56:B58)/B56</f>
        <v>1.0015609311013742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0.10037429991229981</v>
      </c>
      <c r="C57">
        <f ca="1">AVERAGE(B56:B58)/B57</f>
        <v>0.63012008044167855</v>
      </c>
      <c r="G57">
        <f t="array" aca="1" ref="G57:I59" ca="1">MMULT($G$52:$I$52,TRANSPOSE($G$52:$I$52))</f>
        <v>1675047.2007614456</v>
      </c>
      <c r="H57">
        <f ca="1"/>
        <v>1675047.2007614456</v>
      </c>
      <c r="I57">
        <f ca="1"/>
        <v>1675047.2007614456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2.6219995648902573E-2</v>
      </c>
      <c r="C58">
        <f ca="1">AVERAGE(B56:B58)/B58</f>
        <v>2.4121995587616634</v>
      </c>
      <c r="G58">
        <f ca="1"/>
        <v>1675047.2007614456</v>
      </c>
      <c r="H58">
        <f ca="1"/>
        <v>1675047.2007614456</v>
      </c>
      <c r="I58">
        <f ca="1"/>
        <v>1675047.2007614456</v>
      </c>
      <c r="AL58" s="31"/>
      <c r="AM58" s="31"/>
      <c r="AN58" s="31"/>
      <c r="AO58" s="31"/>
      <c r="AP58" s="31"/>
    </row>
    <row r="59" spans="1:47">
      <c r="G59">
        <f ca="1"/>
        <v>1675047.2007614456</v>
      </c>
      <c r="H59">
        <f ca="1"/>
        <v>1675047.2007614456</v>
      </c>
      <c r="I59">
        <f ca="1"/>
        <v>1675047.2007614456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56.033652856173013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11.941285053669185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28.507124310469173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'Reduce DMR (2)'!K6:AI6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(2)'!K18:AI18</xm:f>
              <xm:sqref>J18</xm:sqref>
            </x14:sparkline>
            <x14:sparkline>
              <xm:f>'Reduce DMR (2)'!K19:AI19</xm:f>
              <xm:sqref>J19</xm:sqref>
            </x14:sparkline>
            <x14:sparkline>
              <xm:f>'Reduce DMR (2)'!K20:AI20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'Reduce DMR (2)'!K46:AI46</xm:f>
              <xm:sqref>J46</xm:sqref>
            </x14:sparkline>
            <x14:sparkline>
              <xm:f>'Reduce DMR (2)'!K47:AI47</xm:f>
              <xm:sqref>J47</xm:sqref>
            </x14:sparkline>
            <x14:sparkline>
              <xm:f>'Reduce DMR (2)'!K48:AI48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(2)'!K35:AI35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5"/>
  <sheetViews>
    <sheetView tabSelected="1" workbookViewId="0">
      <pane xSplit="10" topLeftCell="K1" activePane="topRight" state="frozen"/>
      <selection pane="topRight" activeCell="F43" sqref="F43"/>
    </sheetView>
  </sheetViews>
  <sheetFormatPr baseColWidth="10" defaultRowHeight="18" x14ac:dyDescent="0"/>
  <cols>
    <col min="2" max="2" width="13" bestFit="1" customWidth="1"/>
    <col min="4" max="4" width="2.33203125" customWidth="1"/>
    <col min="5" max="8" width="6.83203125" customWidth="1"/>
    <col min="9" max="9" width="6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74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s="5">
        <v>1</v>
      </c>
      <c r="B4" s="25">
        <v>0.33333000000000002</v>
      </c>
      <c r="C4" s="22">
        <f>ypr1/SUM(ypr1,ypr2,ypr3)</f>
        <v>0.51295924716123387</v>
      </c>
      <c r="J4" t="s">
        <v>78</v>
      </c>
      <c r="K4" s="1">
        <f t="shared" ref="K4:AI4" si="0">linf*(1-EXP(-vonbk*age))</f>
        <v>24.178053748874753</v>
      </c>
      <c r="L4" s="1">
        <f t="shared" si="0"/>
        <v>43.484621805387199</v>
      </c>
      <c r="M4" s="1">
        <f t="shared" si="0"/>
        <v>58.901229527094102</v>
      </c>
      <c r="N4" s="1">
        <f t="shared" si="0"/>
        <v>71.211640831128094</v>
      </c>
      <c r="O4" s="1">
        <f t="shared" si="0"/>
        <v>81.041703916998031</v>
      </c>
      <c r="P4" s="1">
        <f t="shared" si="0"/>
        <v>88.891168722493006</v>
      </c>
      <c r="Q4" s="1">
        <f t="shared" si="0"/>
        <v>95.159093678261684</v>
      </c>
      <c r="R4" s="1">
        <f t="shared" si="0"/>
        <v>100.16413341340962</v>
      </c>
      <c r="S4" s="1">
        <f t="shared" si="0"/>
        <v>104.16073881746037</v>
      </c>
      <c r="T4" s="1">
        <f t="shared" si="0"/>
        <v>107.35209305257628</v>
      </c>
      <c r="U4" s="1">
        <f t="shared" si="0"/>
        <v>109.90044116912274</v>
      </c>
      <c r="V4" s="1">
        <f t="shared" si="0"/>
        <v>111.93533847123004</v>
      </c>
      <c r="W4" s="1">
        <f t="shared" si="0"/>
        <v>113.56023697047237</v>
      </c>
      <c r="X4" s="1">
        <f t="shared" si="0"/>
        <v>114.85774477595517</v>
      </c>
      <c r="Y4" s="1">
        <f t="shared" si="0"/>
        <v>115.89382580260006</v>
      </c>
      <c r="Z4" s="1">
        <f t="shared" si="0"/>
        <v>116.72115330632489</v>
      </c>
      <c r="AA4" s="1">
        <f t="shared" si="0"/>
        <v>117.38178773627486</v>
      </c>
      <c r="AB4" s="1">
        <f t="shared" si="0"/>
        <v>117.90931504326079</v>
      </c>
      <c r="AC4" s="1">
        <f t="shared" si="0"/>
        <v>118.33055415372749</v>
      </c>
      <c r="AD4" s="1">
        <f t="shared" si="0"/>
        <v>118.66692041541093</v>
      </c>
      <c r="AE4" s="1">
        <f t="shared" si="0"/>
        <v>118.93551433080862</v>
      </c>
      <c r="AF4" s="1">
        <f t="shared" si="0"/>
        <v>119.14999092851374</v>
      </c>
      <c r="AG4" s="1">
        <f t="shared" si="0"/>
        <v>119.32125397032563</v>
      </c>
      <c r="AH4" s="1">
        <f t="shared" si="0"/>
        <v>119.45801028688648</v>
      </c>
      <c r="AI4" s="1">
        <f t="shared" si="0"/>
        <v>119.56721242367811</v>
      </c>
    </row>
    <row r="5" spans="1:35">
      <c r="A5" s="5">
        <v>2</v>
      </c>
      <c r="B5" s="25">
        <v>0.33333000000000002</v>
      </c>
      <c r="C5" s="22">
        <f>ypr2/SUM(ypr1,ypr2,ypr3)</f>
        <v>0.22199193019336766</v>
      </c>
      <c r="J5" t="s">
        <v>3</v>
      </c>
      <c r="K5" s="9">
        <f t="shared" ref="K5:AI5" si="1">0.00000692*len^3.24</f>
        <v>0.21008315542734157</v>
      </c>
      <c r="L5" s="9">
        <f t="shared" si="1"/>
        <v>1.4070636823889766</v>
      </c>
      <c r="M5" s="9">
        <f t="shared" si="1"/>
        <v>3.761049268028144</v>
      </c>
      <c r="N5" s="9">
        <f t="shared" si="1"/>
        <v>6.9561880007027987</v>
      </c>
      <c r="O5" s="9">
        <f t="shared" si="1"/>
        <v>10.576009699103048</v>
      </c>
      <c r="P5" s="9">
        <f t="shared" si="1"/>
        <v>14.269475531777754</v>
      </c>
      <c r="Q5" s="9">
        <f t="shared" si="1"/>
        <v>17.794469983736594</v>
      </c>
      <c r="R5" s="9">
        <f t="shared" si="1"/>
        <v>21.009404638189356</v>
      </c>
      <c r="S5" s="9">
        <f t="shared" si="1"/>
        <v>23.848837915830781</v>
      </c>
      <c r="T5" s="9">
        <f t="shared" si="1"/>
        <v>26.298572013357866</v>
      </c>
      <c r="U5" s="9">
        <f t="shared" si="1"/>
        <v>28.375548581008292</v>
      </c>
      <c r="V5" s="9">
        <f t="shared" si="1"/>
        <v>30.113405824340219</v>
      </c>
      <c r="W5" s="9">
        <f t="shared" si="1"/>
        <v>31.552899518788422</v>
      </c>
      <c r="X5" s="9">
        <f t="shared" si="1"/>
        <v>32.735985286908267</v>
      </c>
      <c r="Y5" s="9">
        <f t="shared" si="1"/>
        <v>33.702449415644089</v>
      </c>
      <c r="Z5" s="9">
        <f t="shared" si="1"/>
        <v>34.488213758889593</v>
      </c>
      <c r="AA5" s="9">
        <f t="shared" si="1"/>
        <v>35.124684007454491</v>
      </c>
      <c r="AB5" s="9">
        <f t="shared" si="1"/>
        <v>35.638711327686863</v>
      </c>
      <c r="AC5" s="9">
        <f t="shared" si="1"/>
        <v>36.052886817020259</v>
      </c>
      <c r="AD5" s="9">
        <f t="shared" si="1"/>
        <v>36.385992986789851</v>
      </c>
      <c r="AE5" s="9">
        <f t="shared" si="1"/>
        <v>36.653506871136997</v>
      </c>
      <c r="AF5" s="9">
        <f t="shared" si="1"/>
        <v>36.868095058414958</v>
      </c>
      <c r="AG5" s="9">
        <f t="shared" si="1"/>
        <v>37.040069676485878</v>
      </c>
      <c r="AH5" s="9">
        <f t="shared" si="1"/>
        <v>37.177791822349739</v>
      </c>
      <c r="AI5" s="9">
        <f t="shared" si="1"/>
        <v>37.288019092348023</v>
      </c>
    </row>
    <row r="6" spans="1:35">
      <c r="A6" s="5">
        <v>3</v>
      </c>
      <c r="B6" s="25">
        <f>1-SUM(B4:B5)</f>
        <v>0.33333999999999997</v>
      </c>
      <c r="C6" s="22">
        <f>ypr3/SUM(ypr1,ypr2,ypr3)</f>
        <v>0.26504882264539859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>spr</f>
        <v>0.39853353853408335</v>
      </c>
      <c r="J7" t="s">
        <v>7</v>
      </c>
      <c r="K7" s="1">
        <f>1</f>
        <v>1</v>
      </c>
      <c r="L7" s="1">
        <f>K7*EXP(-K8)</f>
        <v>0.86054415793688133</v>
      </c>
      <c r="M7" s="1">
        <f t="shared" ref="M7:AH7" si="3">L7*EXP(-L8)</f>
        <v>0.73915874319590891</v>
      </c>
      <c r="N7" s="1">
        <f t="shared" si="3"/>
        <v>0.628066272446412</v>
      </c>
      <c r="O7" s="1">
        <f t="shared" si="3"/>
        <v>0.50979818639246421</v>
      </c>
      <c r="P7" s="1">
        <f t="shared" si="3"/>
        <v>0.4085428040519124</v>
      </c>
      <c r="Q7" s="1">
        <f t="shared" si="3"/>
        <v>0.33285220354313017</v>
      </c>
      <c r="R7" s="1">
        <f t="shared" si="3"/>
        <v>0.27317852055960323</v>
      </c>
      <c r="S7" s="1">
        <f t="shared" si="3"/>
        <v>0.22001051455271572</v>
      </c>
      <c r="T7" s="1">
        <f t="shared" si="3"/>
        <v>0.17345725647293822</v>
      </c>
      <c r="U7" s="1">
        <f t="shared" si="3"/>
        <v>0.13671718634901517</v>
      </c>
      <c r="V7" s="1">
        <f t="shared" si="3"/>
        <v>0.1080446343710562</v>
      </c>
      <c r="W7" s="1">
        <f t="shared" si="3"/>
        <v>8.5577996967168238E-2</v>
      </c>
      <c r="X7" s="1">
        <f t="shared" si="3"/>
        <v>6.7902903840210638E-2</v>
      </c>
      <c r="Y7" s="1">
        <f t="shared" si="3"/>
        <v>5.3954476264730773E-2</v>
      </c>
      <c r="Z7" s="1">
        <f t="shared" si="3"/>
        <v>4.2921077516103197E-2</v>
      </c>
      <c r="AA7" s="1">
        <f t="shared" si="3"/>
        <v>3.4177490210006295E-2</v>
      </c>
      <c r="AB7" s="1">
        <f t="shared" si="3"/>
        <v>2.7238288454759212E-2</v>
      </c>
      <c r="AC7" s="1">
        <f t="shared" si="3"/>
        <v>2.1724395761727182E-2</v>
      </c>
      <c r="AD7" s="1">
        <f t="shared" si="3"/>
        <v>1.7338514588596185E-2</v>
      </c>
      <c r="AE7" s="1">
        <f t="shared" si="3"/>
        <v>1.3846730346166316E-2</v>
      </c>
      <c r="AF7" s="1">
        <f t="shared" si="3"/>
        <v>1.1064540303018603E-2</v>
      </c>
      <c r="AG7" s="1">
        <f t="shared" si="3"/>
        <v>8.8461296268382856E-3</v>
      </c>
      <c r="AH7" s="1">
        <f t="shared" si="3"/>
        <v>7.0760747604090412E-3</v>
      </c>
      <c r="AI7" s="1">
        <f>AH7*EXP(-AH8)/(1-EXP(-AI8))</f>
        <v>2.8406144267657418E-2</v>
      </c>
    </row>
    <row r="8" spans="1:35">
      <c r="A8" s="5"/>
      <c r="B8" s="26" t="s">
        <v>50</v>
      </c>
      <c r="C8" s="26">
        <f>SUMXMY2(B4:B7,C4:C7)</f>
        <v>4.932866763768682E-2</v>
      </c>
      <c r="J8" t="s">
        <v>11</v>
      </c>
      <c r="K8" s="1">
        <f>M+f1_*flt1_ +f2_*flt2_ +f3_*flt3_</f>
        <v>0.15019034804419501</v>
      </c>
      <c r="L8" s="1">
        <f t="shared" ref="L8:AI8" si="4">M+f1_*flt1_ +f2_*flt2_ +f3_*flt3_</f>
        <v>0.15205222494415588</v>
      </c>
      <c r="M8" s="1">
        <f t="shared" si="4"/>
        <v>0.16286701572015258</v>
      </c>
      <c r="N8" s="1">
        <f t="shared" si="4"/>
        <v>0.20863075582624724</v>
      </c>
      <c r="O8" s="1">
        <f t="shared" si="4"/>
        <v>0.22141824215592046</v>
      </c>
      <c r="P8" s="1">
        <f t="shared" si="4"/>
        <v>0.20489813403794466</v>
      </c>
      <c r="Q8" s="1">
        <f t="shared" si="4"/>
        <v>0.19757305531829089</v>
      </c>
      <c r="R8" s="1">
        <f t="shared" si="4"/>
        <v>0.21645016430350286</v>
      </c>
      <c r="S8" s="1">
        <f t="shared" si="4"/>
        <v>0.2377441299830419</v>
      </c>
      <c r="T8" s="1">
        <f t="shared" si="4"/>
        <v>0.23801674971216077</v>
      </c>
      <c r="U8" s="1">
        <f t="shared" si="4"/>
        <v>0.23537003597598016</v>
      </c>
      <c r="V8" s="1">
        <f t="shared" si="4"/>
        <v>0.23311621763059101</v>
      </c>
      <c r="W8" s="1">
        <f t="shared" si="4"/>
        <v>0.23134940525545092</v>
      </c>
      <c r="X8" s="1">
        <f t="shared" si="4"/>
        <v>0.2299381411962752</v>
      </c>
      <c r="Y8" s="1">
        <f t="shared" si="4"/>
        <v>0.22877763620944408</v>
      </c>
      <c r="Z8" s="1">
        <f t="shared" si="4"/>
        <v>0.22779577629039113</v>
      </c>
      <c r="AA8" s="1">
        <f t="shared" si="4"/>
        <v>0.22694359912839474</v>
      </c>
      <c r="AB8" s="1">
        <f t="shared" si="4"/>
        <v>0.22618778952435659</v>
      </c>
      <c r="AC8" s="1">
        <f t="shared" si="4"/>
        <v>0.22550555390672217</v>
      </c>
      <c r="AD8" s="1">
        <f t="shared" si="4"/>
        <v>0.22488117514499245</v>
      </c>
      <c r="AE8" s="1">
        <f t="shared" si="4"/>
        <v>0.22430370117459633</v>
      </c>
      <c r="AF8" s="1">
        <f t="shared" si="4"/>
        <v>0.22376539443703686</v>
      </c>
      <c r="AG8" s="1">
        <f t="shared" si="4"/>
        <v>0.2232606914716356</v>
      </c>
      <c r="AH8" s="1">
        <f t="shared" si="4"/>
        <v>0.22278550454895091</v>
      </c>
      <c r="AI8" s="1">
        <f t="shared" si="4"/>
        <v>0.22233675263783137</v>
      </c>
    </row>
    <row r="9" spans="1:35">
      <c r="A9" s="12" t="s">
        <v>73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si="5">EXP(-za)</f>
        <v>0.86054415793688133</v>
      </c>
      <c r="L10" s="1">
        <f t="shared" si="5"/>
        <v>0.85894342129753243</v>
      </c>
      <c r="M10" s="1">
        <f t="shared" si="5"/>
        <v>0.84970417819971233</v>
      </c>
      <c r="N10" s="1">
        <f t="shared" si="5"/>
        <v>0.81169489392691652</v>
      </c>
      <c r="O10" s="1">
        <f t="shared" si="5"/>
        <v>0.80138143868836531</v>
      </c>
      <c r="P10" s="1">
        <f t="shared" si="5"/>
        <v>0.81473030547084502</v>
      </c>
      <c r="Q10" s="1">
        <f t="shared" si="5"/>
        <v>0.82072018046353545</v>
      </c>
      <c r="R10" s="1">
        <f t="shared" si="5"/>
        <v>0.80537267023053849</v>
      </c>
      <c r="S10" s="1">
        <f t="shared" si="5"/>
        <v>0.78840439433351228</v>
      </c>
      <c r="T10" s="1">
        <f t="shared" si="5"/>
        <v>0.78818948903613595</v>
      </c>
      <c r="U10" s="1">
        <f t="shared" si="5"/>
        <v>0.79027836409123475</v>
      </c>
      <c r="V10" s="1">
        <f t="shared" si="5"/>
        <v>0.79206151666235358</v>
      </c>
      <c r="W10" s="1">
        <f t="shared" si="5"/>
        <v>0.79346217774016603</v>
      </c>
      <c r="X10" s="1">
        <f t="shared" si="5"/>
        <v>0.79458275292168135</v>
      </c>
      <c r="Y10" s="1">
        <f t="shared" si="5"/>
        <v>0.79550540543676929</v>
      </c>
      <c r="Z10" s="1">
        <f t="shared" si="5"/>
        <v>0.79628686388834324</v>
      </c>
      <c r="AA10" s="1">
        <f t="shared" si="5"/>
        <v>0.79696573058441078</v>
      </c>
      <c r="AB10" s="1">
        <f t="shared" si="5"/>
        <v>0.79756831262763817</v>
      </c>
      <c r="AC10" s="1">
        <f t="shared" si="5"/>
        <v>0.79811262779249326</v>
      </c>
      <c r="AD10" s="1">
        <f t="shared" si="5"/>
        <v>0.79861110797077905</v>
      </c>
      <c r="AE10" s="1">
        <f t="shared" si="5"/>
        <v>0.79907241828263043</v>
      </c>
      <c r="AF10" s="1">
        <f t="shared" si="5"/>
        <v>0.79950268014522974</v>
      </c>
      <c r="AG10" s="1">
        <f t="shared" si="5"/>
        <v>0.79990629336257157</v>
      </c>
      <c r="AH10" s="1">
        <f t="shared" si="5"/>
        <v>0.80028648869732222</v>
      </c>
      <c r="AI10" s="1">
        <f t="shared" si="5"/>
        <v>0.80064569938078045</v>
      </c>
    </row>
    <row r="11" spans="1:35">
      <c r="A11" s="5">
        <v>1</v>
      </c>
      <c r="B11" s="25">
        <v>0.33333000000000002</v>
      </c>
      <c r="C11" s="18">
        <f>mpr1_/SUM(mpr1_,mpr2_,mpr3_)</f>
        <v>0.33333013034783809</v>
      </c>
      <c r="J11" t="s">
        <v>56</v>
      </c>
      <c r="K11" s="1">
        <f>1-sa</f>
        <v>0.13945584206311867</v>
      </c>
      <c r="L11" s="1">
        <f t="shared" ref="L11:AI11" si="6">1-sa</f>
        <v>0.14105657870246757</v>
      </c>
      <c r="M11" s="1">
        <f t="shared" si="6"/>
        <v>0.15029582180028767</v>
      </c>
      <c r="N11" s="1">
        <f t="shared" si="6"/>
        <v>0.18830510607308348</v>
      </c>
      <c r="O11" s="1">
        <f t="shared" si="6"/>
        <v>0.19861856131163469</v>
      </c>
      <c r="P11" s="1">
        <f t="shared" si="6"/>
        <v>0.18526969452915498</v>
      </c>
      <c r="Q11" s="1">
        <f t="shared" si="6"/>
        <v>0.17927981953646455</v>
      </c>
      <c r="R11" s="1">
        <f t="shared" si="6"/>
        <v>0.19462732976946151</v>
      </c>
      <c r="S11" s="1">
        <f t="shared" si="6"/>
        <v>0.21159560566648772</v>
      </c>
      <c r="T11" s="1">
        <f t="shared" si="6"/>
        <v>0.21181051096386405</v>
      </c>
      <c r="U11" s="1">
        <f t="shared" si="6"/>
        <v>0.20972163590876525</v>
      </c>
      <c r="V11" s="1">
        <f t="shared" si="6"/>
        <v>0.20793848333764642</v>
      </c>
      <c r="W11" s="1">
        <f t="shared" si="6"/>
        <v>0.20653782225983397</v>
      </c>
      <c r="X11" s="1">
        <f t="shared" si="6"/>
        <v>0.20541724707831865</v>
      </c>
      <c r="Y11" s="1">
        <f t="shared" si="6"/>
        <v>0.20449459456323071</v>
      </c>
      <c r="Z11" s="1">
        <f t="shared" si="6"/>
        <v>0.20371313611165676</v>
      </c>
      <c r="AA11" s="1">
        <f t="shared" si="6"/>
        <v>0.20303426941558922</v>
      </c>
      <c r="AB11" s="1">
        <f t="shared" si="6"/>
        <v>0.20243168737236183</v>
      </c>
      <c r="AC11" s="1">
        <f t="shared" si="6"/>
        <v>0.20188737220750674</v>
      </c>
      <c r="AD11" s="1">
        <f t="shared" si="6"/>
        <v>0.20138889202922095</v>
      </c>
      <c r="AE11" s="1">
        <f t="shared" si="6"/>
        <v>0.20092758171736957</v>
      </c>
      <c r="AF11" s="1">
        <f t="shared" si="6"/>
        <v>0.20049731985477026</v>
      </c>
      <c r="AG11" s="1">
        <f t="shared" si="6"/>
        <v>0.20009370663742843</v>
      </c>
      <c r="AH11" s="1">
        <f t="shared" si="6"/>
        <v>0.19971351130267778</v>
      </c>
      <c r="AI11" s="1">
        <f t="shared" si="6"/>
        <v>0.19935430061921955</v>
      </c>
    </row>
    <row r="12" spans="1:35">
      <c r="A12" s="5">
        <v>2</v>
      </c>
      <c r="B12" s="25">
        <v>0.33333000000000002</v>
      </c>
      <c r="C12" s="18">
        <f>mpr2_/SUM(mpr1_,mpr2_,mpr3_)</f>
        <v>0.33332967926696411</v>
      </c>
      <c r="J12" t="s">
        <v>83</v>
      </c>
      <c r="K12">
        <f t="shared" ref="K12:AI12" si="7">1/(1+EXP(($E18-len)/2.5))</f>
        <v>9.0219231636339836E-11</v>
      </c>
      <c r="L12">
        <f t="shared" si="7"/>
        <v>2.0379495285720342E-7</v>
      </c>
      <c r="M12">
        <f t="shared" si="7"/>
        <v>9.7115913360032254E-5</v>
      </c>
      <c r="N12">
        <f t="shared" si="7"/>
        <v>1.318576895324936E-2</v>
      </c>
      <c r="O12">
        <f t="shared" si="7"/>
        <v>0.40532678130776134</v>
      </c>
      <c r="P12">
        <f t="shared" si="7"/>
        <v>0.94027757178671145</v>
      </c>
      <c r="Q12">
        <f t="shared" si="7"/>
        <v>0.99485021627773107</v>
      </c>
      <c r="R12">
        <f>1/(1+EXP(($E18-len)/2.5))</f>
        <v>0.99930134413757676</v>
      </c>
      <c r="S12">
        <f t="shared" si="7"/>
        <v>0.99985867337591106</v>
      </c>
      <c r="T12">
        <f t="shared" si="7"/>
        <v>0.99996056578257619</v>
      </c>
      <c r="U12">
        <f t="shared" si="7"/>
        <v>0.99998577046319925</v>
      </c>
      <c r="V12">
        <f t="shared" si="7"/>
        <v>0.99999369483673073</v>
      </c>
      <c r="W12">
        <f t="shared" si="7"/>
        <v>0.99999670827258202</v>
      </c>
      <c r="X12">
        <f t="shared" si="7"/>
        <v>0.9999980410459387</v>
      </c>
      <c r="Y12">
        <f t="shared" si="7"/>
        <v>0.99999870568843641</v>
      </c>
      <c r="Z12">
        <f t="shared" si="7"/>
        <v>0.99999907035426383</v>
      </c>
      <c r="AA12">
        <f t="shared" si="7"/>
        <v>0.99999928623767509</v>
      </c>
      <c r="AB12">
        <f t="shared" si="7"/>
        <v>0.99999942202001402</v>
      </c>
      <c r="AC12">
        <f t="shared" si="7"/>
        <v>0.99999951164446932</v>
      </c>
      <c r="AD12">
        <f t="shared" si="7"/>
        <v>0.99999957312243282</v>
      </c>
      <c r="AE12">
        <f t="shared" si="7"/>
        <v>0.99999961660732639</v>
      </c>
      <c r="AF12">
        <f t="shared" si="7"/>
        <v>0.99999964812742281</v>
      </c>
      <c r="AG12">
        <f t="shared" si="7"/>
        <v>0.99999967142539492</v>
      </c>
      <c r="AH12">
        <f t="shared" si="7"/>
        <v>0.99999968891648572</v>
      </c>
      <c r="AI12">
        <f t="shared" si="7"/>
        <v>0.99999970221237355</v>
      </c>
    </row>
    <row r="13" spans="1:35">
      <c r="A13" s="5">
        <v>3</v>
      </c>
      <c r="B13" s="25">
        <f>1-SUM(B11:B12)</f>
        <v>0.33333999999999997</v>
      </c>
      <c r="C13" s="18">
        <f>mpr3_/SUM(mpr1_,mpr2_,mpr3_)</f>
        <v>0.3333401903851978</v>
      </c>
    </row>
    <row r="14" spans="1:35">
      <c r="A14" s="27" t="s">
        <v>49</v>
      </c>
      <c r="B14" s="30">
        <v>0.4</v>
      </c>
      <c r="C14" s="29">
        <f>spr</f>
        <v>0.39853353853408335</v>
      </c>
    </row>
    <row r="15" spans="1:35">
      <c r="A15" s="5"/>
      <c r="B15" s="26" t="s">
        <v>50</v>
      </c>
      <c r="C15" s="26">
        <f>SUMXMY2(B11:B14,C11:C14)</f>
        <v>2.1505093871252273E-6</v>
      </c>
    </row>
    <row r="17" spans="1:35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t="s">
        <v>20</v>
      </c>
      <c r="B18">
        <v>1</v>
      </c>
      <c r="E18">
        <v>82</v>
      </c>
      <c r="F18">
        <v>0</v>
      </c>
      <c r="G18" s="3">
        <v>8</v>
      </c>
      <c r="H18" s="3">
        <v>0.4</v>
      </c>
      <c r="I18" s="7">
        <v>1.0000000000000001E-5</v>
      </c>
      <c r="J18" s="8" t="s">
        <v>16</v>
      </c>
      <c r="K18" s="4">
        <f>((EXP(g*(ah-age)/gh)/(1+EXP((ah-age)/gh))) *(1/(1-g))*((1-g)/g)^g) *(sr+(1-sr)*dmr)</f>
        <v>2.2660841037912323E-18</v>
      </c>
      <c r="L18" s="4">
        <f t="shared" ref="L18:AI18" si="8">((EXP(g*(ah-age)/gh)/(1+EXP((ah-age)/gh))) *(1/(1-g))*((1-g)/g)^g) *(sr+(1-sr)*dmr)</f>
        <v>6.2358484195451125E-14</v>
      </c>
      <c r="M18" s="4">
        <f t="shared" si="8"/>
        <v>3.6200651492535513E-10</v>
      </c>
      <c r="N18" s="4">
        <f t="shared" si="8"/>
        <v>5.9874058650038687E-7</v>
      </c>
      <c r="O18" s="4">
        <f t="shared" si="8"/>
        <v>2.2410083031335602E-4</v>
      </c>
      <c r="P18" s="4">
        <f t="shared" si="8"/>
        <v>6.2942398241139993E-3</v>
      </c>
      <c r="Q18" s="4">
        <f t="shared" si="8"/>
        <v>7.547885753086013E-2</v>
      </c>
      <c r="R18" s="4">
        <f t="shared" si="8"/>
        <v>0.49971319687174481</v>
      </c>
      <c r="S18" s="4">
        <f t="shared" si="8"/>
        <v>0.92410373927527512</v>
      </c>
      <c r="T18" s="4">
        <f t="shared" si="8"/>
        <v>0.99334260502214955</v>
      </c>
      <c r="U18" s="4">
        <f t="shared" si="8"/>
        <v>0.99948310172921173</v>
      </c>
      <c r="V18" s="4">
        <f t="shared" si="8"/>
        <v>0.99997342547539469</v>
      </c>
      <c r="W18" s="4">
        <f t="shared" si="8"/>
        <v>0.99999311084931608</v>
      </c>
      <c r="X18" s="4">
        <f t="shared" si="8"/>
        <v>0.99997286471456404</v>
      </c>
      <c r="Y18" s="4">
        <f t="shared" si="8"/>
        <v>0.99994881109245382</v>
      </c>
      <c r="Z18" s="4">
        <f t="shared" si="8"/>
        <v>0.99992420037026464</v>
      </c>
      <c r="AA18" s="4">
        <f t="shared" si="8"/>
        <v>0.99989942033135415</v>
      </c>
      <c r="AB18" s="4">
        <f t="shared" si="8"/>
        <v>0.99987455907897871</v>
      </c>
      <c r="AC18" s="4">
        <f t="shared" si="8"/>
        <v>0.99984965215123045</v>
      </c>
      <c r="AD18" s="4">
        <f t="shared" si="8"/>
        <v>0.99982471769063697</v>
      </c>
      <c r="AE18" s="4">
        <f t="shared" si="8"/>
        <v>0.99979976586142616</v>
      </c>
      <c r="AF18" s="4">
        <f t="shared" si="8"/>
        <v>0.99977480269273089</v>
      </c>
      <c r="AG18" s="4">
        <f t="shared" si="8"/>
        <v>0.99974983192724243</v>
      </c>
      <c r="AH18" s="4">
        <f t="shared" si="8"/>
        <v>0.99972485598014738</v>
      </c>
      <c r="AI18" s="4">
        <f t="shared" si="8"/>
        <v>0.99969987646306058</v>
      </c>
    </row>
    <row r="19" spans="1:35">
      <c r="A19" t="s">
        <v>21</v>
      </c>
      <c r="B19">
        <v>12</v>
      </c>
      <c r="E19">
        <v>0</v>
      </c>
      <c r="F19">
        <v>0</v>
      </c>
      <c r="G19" s="3">
        <v>4</v>
      </c>
      <c r="H19" s="3">
        <v>0.05</v>
      </c>
      <c r="I19" s="7">
        <v>0.02</v>
      </c>
      <c r="J19" s="8" t="s">
        <v>17</v>
      </c>
      <c r="K19" s="4">
        <f t="shared" ref="K19:T20" si="9">(EXP(g*(ah-age)/gh)/(1+EXP((ah-age)/gh))) *(1/(1-g))*((1-g)/g)^g</f>
        <v>3.2067293740165511E-26</v>
      </c>
      <c r="L19" s="4">
        <f t="shared" si="9"/>
        <v>1.042879559395233E-17</v>
      </c>
      <c r="M19" s="4">
        <f t="shared" si="9"/>
        <v>3.3916107232972742E-9</v>
      </c>
      <c r="N19" s="4">
        <f t="shared" si="9"/>
        <v>0.55150296322207493</v>
      </c>
      <c r="O19" s="4">
        <f t="shared" si="9"/>
        <v>0.73936698186767658</v>
      </c>
      <c r="P19" s="4">
        <f t="shared" si="9"/>
        <v>0.49561251034430615</v>
      </c>
      <c r="Q19" s="4">
        <f t="shared" si="9"/>
        <v>0.33221900074983407</v>
      </c>
      <c r="R19" s="4">
        <f t="shared" si="9"/>
        <v>0.22269305587654287</v>
      </c>
      <c r="S19" s="4">
        <f t="shared" si="9"/>
        <v>0.1492756194669814</v>
      </c>
      <c r="T19" s="4">
        <f t="shared" si="9"/>
        <v>0.10006244011310554</v>
      </c>
      <c r="U19" s="4">
        <f t="shared" ref="U19:AI20" si="10">(EXP(g*(ah-age)/gh)/(1+EXP((ah-age)/gh))) *(1/(1-g))*((1-g)/g)^g</f>
        <v>6.7073859463055288E-2</v>
      </c>
      <c r="V19" s="4">
        <f t="shared" si="10"/>
        <v>4.4960952563063247E-2</v>
      </c>
      <c r="W19" s="4">
        <f t="shared" si="10"/>
        <v>3.013822779187875E-2</v>
      </c>
      <c r="X19" s="4">
        <f t="shared" si="10"/>
        <v>2.020225824088474E-2</v>
      </c>
      <c r="Y19" s="4">
        <f t="shared" si="10"/>
        <v>1.3541978674053741E-2</v>
      </c>
      <c r="Z19" s="4">
        <f t="shared" si="10"/>
        <v>9.0774597682053461E-3</v>
      </c>
      <c r="AA19" s="4">
        <f t="shared" si="10"/>
        <v>6.0848032497100683E-3</v>
      </c>
      <c r="AB19" s="4">
        <f t="shared" si="10"/>
        <v>4.07876559446346E-3</v>
      </c>
      <c r="AC19" s="4">
        <f t="shared" si="10"/>
        <v>2.734078341049332E-3</v>
      </c>
      <c r="AD19" s="4">
        <f t="shared" si="10"/>
        <v>1.832707519437232E-3</v>
      </c>
      <c r="AE19" s="4">
        <f t="shared" si="10"/>
        <v>1.2285005887990271E-3</v>
      </c>
      <c r="AF19" s="4">
        <f t="shared" si="10"/>
        <v>8.2348857123857417E-4</v>
      </c>
      <c r="AG19" s="4">
        <f t="shared" si="10"/>
        <v>5.5200089698246365E-4</v>
      </c>
      <c r="AH19" s="4">
        <f t="shared" si="10"/>
        <v>3.7001726667699921E-4</v>
      </c>
      <c r="AI19" s="4">
        <f t="shared" si="10"/>
        <v>2.4802999123290785E-4</v>
      </c>
    </row>
    <row r="20" spans="1:35">
      <c r="A20" t="s">
        <v>5</v>
      </c>
      <c r="B20">
        <v>0.15</v>
      </c>
      <c r="E20">
        <v>0</v>
      </c>
      <c r="F20">
        <v>0</v>
      </c>
      <c r="G20" s="3">
        <v>3</v>
      </c>
      <c r="H20" s="3">
        <v>0.4</v>
      </c>
      <c r="I20" s="7">
        <v>0.02</v>
      </c>
      <c r="J20" s="8" t="s">
        <v>18</v>
      </c>
      <c r="K20" s="4">
        <f t="shared" si="9"/>
        <v>8.1586526895818766E-3</v>
      </c>
      <c r="L20" s="4">
        <f t="shared" si="9"/>
        <v>8.7961978443441266E-2</v>
      </c>
      <c r="M20" s="4">
        <f t="shared" si="9"/>
        <v>0.55150296322207493</v>
      </c>
      <c r="N20" s="4">
        <f t="shared" si="9"/>
        <v>0.96962040317224751</v>
      </c>
      <c r="O20" s="4">
        <f t="shared" si="9"/>
        <v>0.99136129470144307</v>
      </c>
      <c r="P20" s="4">
        <f t="shared" si="9"/>
        <v>0.94884120969175767</v>
      </c>
      <c r="Q20" s="4">
        <f t="shared" si="9"/>
        <v>0.90302387558657016</v>
      </c>
      <c r="R20" s="4">
        <f t="shared" si="9"/>
        <v>0.85901867798242304</v>
      </c>
      <c r="S20" s="4">
        <f t="shared" si="9"/>
        <v>0.81712663786881001</v>
      </c>
      <c r="T20" s="4">
        <f t="shared" si="9"/>
        <v>0.77727511973697594</v>
      </c>
      <c r="U20" s="4">
        <f t="shared" si="10"/>
        <v>0.73936698186767658</v>
      </c>
      <c r="V20" s="4">
        <f t="shared" si="10"/>
        <v>0.70330762998745233</v>
      </c>
      <c r="W20" s="4">
        <f t="shared" si="10"/>
        <v>0.66900691222382347</v>
      </c>
      <c r="X20" s="4">
        <f t="shared" si="10"/>
        <v>0.63637906010977985</v>
      </c>
      <c r="Y20" s="4">
        <f t="shared" si="10"/>
        <v>0.60534248711316452</v>
      </c>
      <c r="Z20" s="4">
        <f t="shared" si="10"/>
        <v>0.57581958564253577</v>
      </c>
      <c r="AA20" s="4">
        <f t="shared" si="10"/>
        <v>0.54773653306699277</v>
      </c>
      <c r="AB20" s="4">
        <f t="shared" si="10"/>
        <v>0.52102310712733224</v>
      </c>
      <c r="AC20" s="4">
        <f t="shared" si="10"/>
        <v>0.49561251034430615</v>
      </c>
      <c r="AD20" s="4">
        <f t="shared" si="10"/>
        <v>0.47144120299016851</v>
      </c>
      <c r="AE20" s="4">
        <f t="shared" si="10"/>
        <v>0.4484487442062623</v>
      </c>
      <c r="AF20" s="4">
        <f t="shared" si="10"/>
        <v>0.42657764086939076</v>
      </c>
      <c r="AG20" s="4">
        <f t="shared" si="10"/>
        <v>0.40577320382906285</v>
      </c>
      <c r="AH20" s="4">
        <f t="shared" si="10"/>
        <v>0.38598341115613044</v>
      </c>
      <c r="AI20" s="4">
        <f t="shared" si="10"/>
        <v>0.36715877806086844</v>
      </c>
    </row>
    <row r="21" spans="1:35">
      <c r="A21" t="s">
        <v>42</v>
      </c>
      <c r="B21" s="1">
        <f>Bo/phie</f>
        <v>2.0910291228819919E-2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t="s">
        <v>79</v>
      </c>
      <c r="B22" s="1">
        <v>120</v>
      </c>
      <c r="J22" s="8" t="s">
        <v>23</v>
      </c>
      <c r="K22" s="1">
        <f t="shared" ref="K22:AI22" si="11">wa*flt1_*(1-EXP(-za))/za</f>
        <v>4.4204038126716157E-19</v>
      </c>
      <c r="L22" s="1">
        <f t="shared" si="11"/>
        <v>8.1397275756865859E-14</v>
      </c>
      <c r="M22" s="1">
        <f t="shared" si="11"/>
        <v>1.2564325463519298E-9</v>
      </c>
      <c r="N22" s="1">
        <f t="shared" si="11"/>
        <v>3.7591856518857484E-6</v>
      </c>
      <c r="O22" s="1">
        <f t="shared" si="11"/>
        <v>2.1260415079633905E-3</v>
      </c>
      <c r="P22" s="1">
        <f t="shared" si="11"/>
        <v>8.1211527583077509E-2</v>
      </c>
      <c r="Q22" s="1">
        <f t="shared" si="11"/>
        <v>1.2187484187704531</v>
      </c>
      <c r="R22" s="1">
        <f t="shared" si="11"/>
        <v>9.4401842092923935</v>
      </c>
      <c r="S22" s="1">
        <f t="shared" si="11"/>
        <v>19.614840951060593</v>
      </c>
      <c r="T22" s="1">
        <f t="shared" si="11"/>
        <v>23.247230298596349</v>
      </c>
      <c r="U22" s="1">
        <f t="shared" si="11"/>
        <v>25.270380740170985</v>
      </c>
      <c r="V22" s="1">
        <f t="shared" si="11"/>
        <v>26.860291386981505</v>
      </c>
      <c r="W22" s="1">
        <f t="shared" si="11"/>
        <v>28.16874437052644</v>
      </c>
      <c r="X22" s="1">
        <f t="shared" si="11"/>
        <v>29.244184852698897</v>
      </c>
      <c r="Y22" s="1">
        <f t="shared" si="11"/>
        <v>30.12364342457245</v>
      </c>
      <c r="Z22" s="1">
        <f t="shared" si="11"/>
        <v>30.839771274480682</v>
      </c>
      <c r="AA22" s="1">
        <f t="shared" si="11"/>
        <v>31.421010761804673</v>
      </c>
      <c r="AB22" s="1">
        <f t="shared" si="11"/>
        <v>31.891639701099198</v>
      </c>
      <c r="AC22" s="1">
        <f t="shared" si="11"/>
        <v>32.272057732760956</v>
      </c>
      <c r="AD22" s="1">
        <f t="shared" si="11"/>
        <v>32.579207156794922</v>
      </c>
      <c r="AE22" s="1">
        <f t="shared" si="11"/>
        <v>32.827036709872118</v>
      </c>
      <c r="AF22" s="1">
        <f t="shared" si="11"/>
        <v>33.026954939856068</v>
      </c>
      <c r="AG22" s="1">
        <f t="shared" si="11"/>
        <v>33.188245857154953</v>
      </c>
      <c r="AH22" s="1">
        <f t="shared" si="11"/>
        <v>33.318435342079908</v>
      </c>
      <c r="AI22" s="1">
        <f t="shared" si="11"/>
        <v>33.42360587289258</v>
      </c>
    </row>
    <row r="23" spans="1:35">
      <c r="A23" t="s">
        <v>80</v>
      </c>
      <c r="B23" s="1">
        <f>1.5*M</f>
        <v>0.22499999999999998</v>
      </c>
      <c r="J23" s="8" t="s">
        <v>24</v>
      </c>
      <c r="K23" s="1">
        <f t="shared" ref="K23:AI23" si="12">wa*flt2_*(1-EXP(-za))/za</f>
        <v>6.2553012606167289E-27</v>
      </c>
      <c r="L23" s="1">
        <f t="shared" si="12"/>
        <v>1.3612831705663053E-17</v>
      </c>
      <c r="M23" s="1">
        <f t="shared" si="12"/>
        <v>1.1771418252474215E-8</v>
      </c>
      <c r="N23" s="1">
        <f t="shared" si="12"/>
        <v>3.4626047959011346</v>
      </c>
      <c r="O23" s="1">
        <f t="shared" si="12"/>
        <v>7.0143644308247435</v>
      </c>
      <c r="P23" s="1">
        <f t="shared" si="12"/>
        <v>6.3946481511785365</v>
      </c>
      <c r="Q23" s="1">
        <f t="shared" si="12"/>
        <v>5.3643019395705247</v>
      </c>
      <c r="R23" s="1">
        <f t="shared" si="12"/>
        <v>4.2069400663524412</v>
      </c>
      <c r="S23" s="1">
        <f t="shared" si="12"/>
        <v>3.1684944116903706</v>
      </c>
      <c r="T23" s="1">
        <f t="shared" si="12"/>
        <v>2.3417646417139242</v>
      </c>
      <c r="U23" s="1">
        <f t="shared" si="12"/>
        <v>1.6958585526975183</v>
      </c>
      <c r="V23" s="1">
        <f t="shared" si="12"/>
        <v>1.2076963808373202</v>
      </c>
      <c r="W23" s="1">
        <f t="shared" si="12"/>
        <v>0.84896188307646547</v>
      </c>
      <c r="X23" s="1">
        <f t="shared" si="12"/>
        <v>0.59081460636137628</v>
      </c>
      <c r="Y23" s="1">
        <f t="shared" si="12"/>
        <v>0.40795461959166462</v>
      </c>
      <c r="Z23" s="1">
        <f t="shared" si="12"/>
        <v>0.27996800447583037</v>
      </c>
      <c r="AA23" s="1">
        <f t="shared" si="12"/>
        <v>0.19120990022101014</v>
      </c>
      <c r="AB23" s="1">
        <f t="shared" si="12"/>
        <v>0.13009484198066656</v>
      </c>
      <c r="AC23" s="1">
        <f t="shared" si="12"/>
        <v>8.8247601905340894E-2</v>
      </c>
      <c r="AD23" s="1">
        <f t="shared" si="12"/>
        <v>5.9718625552160114E-2</v>
      </c>
      <c r="AE23" s="1">
        <f t="shared" si="12"/>
        <v>4.0336110592963173E-2</v>
      </c>
      <c r="AF23" s="1">
        <f t="shared" si="12"/>
        <v>2.720344607858818E-2</v>
      </c>
      <c r="AG23" s="1">
        <f t="shared" si="12"/>
        <v>1.8324525693701056E-2</v>
      </c>
      <c r="AH23" s="1">
        <f t="shared" si="12"/>
        <v>1.2331789393336396E-2</v>
      </c>
      <c r="AI23" s="1">
        <f t="shared" si="12"/>
        <v>8.2925454596993117E-3</v>
      </c>
    </row>
    <row r="24" spans="1:35">
      <c r="B24" s="1"/>
      <c r="J24" s="8" t="s">
        <v>25</v>
      </c>
      <c r="K24" s="1">
        <f t="shared" ref="K24:AI24" si="13">wa*flt3_*(1-EXP(-za))/za</f>
        <v>1.5914916571257928E-3</v>
      </c>
      <c r="L24" s="1">
        <f t="shared" si="13"/>
        <v>0.11481782323378815</v>
      </c>
      <c r="M24" s="1">
        <f t="shared" si="13"/>
        <v>1.9141265248903765</v>
      </c>
      <c r="N24" s="1">
        <f t="shared" si="13"/>
        <v>6.0877501702123755</v>
      </c>
      <c r="O24" s="1">
        <f t="shared" si="13"/>
        <v>9.4050310254382889</v>
      </c>
      <c r="P24" s="1">
        <f t="shared" si="13"/>
        <v>12.242438519363157</v>
      </c>
      <c r="Q24" s="1">
        <f t="shared" si="13"/>
        <v>14.581022507304466</v>
      </c>
      <c r="R24" s="1">
        <f t="shared" si="13"/>
        <v>16.227897542314075</v>
      </c>
      <c r="S24" s="1">
        <f t="shared" si="13"/>
        <v>17.344166414953957</v>
      </c>
      <c r="T24" s="1">
        <f t="shared" si="13"/>
        <v>18.190595694313966</v>
      </c>
      <c r="U24" s="1">
        <f t="shared" si="13"/>
        <v>18.693747904473653</v>
      </c>
      <c r="V24" s="1">
        <f t="shared" si="13"/>
        <v>18.89154991010826</v>
      </c>
      <c r="W24" s="1">
        <f t="shared" si="13"/>
        <v>18.845214520070602</v>
      </c>
      <c r="X24" s="1">
        <f t="shared" si="13"/>
        <v>18.610891882100624</v>
      </c>
      <c r="Y24" s="1">
        <f t="shared" si="13"/>
        <v>18.236054715259638</v>
      </c>
      <c r="Z24" s="1">
        <f t="shared" si="13"/>
        <v>17.75949047938467</v>
      </c>
      <c r="AA24" s="1">
        <f t="shared" si="13"/>
        <v>17.212166694154334</v>
      </c>
      <c r="AB24" s="1">
        <f t="shared" si="13"/>
        <v>16.618365831567871</v>
      </c>
      <c r="AC24" s="1">
        <f t="shared" si="13"/>
        <v>15.99684063748699</v>
      </c>
      <c r="AD24" s="1">
        <f t="shared" si="13"/>
        <v>15.361873279089806</v>
      </c>
      <c r="AE24" s="1">
        <f t="shared" si="13"/>
        <v>14.724191674391143</v>
      </c>
      <c r="AF24" s="1">
        <f t="shared" si="13"/>
        <v>14.091733943882389</v>
      </c>
      <c r="AG24" s="1">
        <f t="shared" si="13"/>
        <v>13.470270682580573</v>
      </c>
      <c r="AH24" s="1">
        <f t="shared" si="13"/>
        <v>12.863902753635607</v>
      </c>
      <c r="AI24" s="1">
        <f t="shared" si="13"/>
        <v>12.275454443484424</v>
      </c>
    </row>
    <row r="25" spans="1:35">
      <c r="J25" s="2" t="s">
        <v>29</v>
      </c>
    </row>
    <row r="26" spans="1:35">
      <c r="A26" s="14" t="s">
        <v>13</v>
      </c>
      <c r="B26" s="14"/>
      <c r="C26" s="14"/>
      <c r="J26" s="8" t="s">
        <v>30</v>
      </c>
      <c r="K26">
        <f>qa1_/wa</f>
        <v>2.1041210104064897E-18</v>
      </c>
      <c r="L26">
        <f t="shared" ref="L26:AI26" si="14">qa1_/wa</f>
        <v>5.7849034678136147E-14</v>
      </c>
      <c r="M26">
        <f t="shared" si="14"/>
        <v>3.3406436789663662E-10</v>
      </c>
      <c r="N26">
        <f t="shared" si="14"/>
        <v>5.404088635192076E-7</v>
      </c>
      <c r="O26">
        <f t="shared" si="14"/>
        <v>2.0102492040487634E-4</v>
      </c>
      <c r="P26">
        <f t="shared" si="14"/>
        <v>5.6912762772690232E-3</v>
      </c>
      <c r="Q26">
        <f t="shared" si="14"/>
        <v>6.8490290516342353E-2</v>
      </c>
      <c r="R26">
        <f t="shared" si="14"/>
        <v>0.44933135288054371</v>
      </c>
      <c r="S26">
        <f t="shared" si="14"/>
        <v>0.82246527148563175</v>
      </c>
      <c r="T26">
        <f t="shared" si="14"/>
        <v>0.88397310267600671</v>
      </c>
      <c r="U26">
        <f t="shared" si="14"/>
        <v>0.89056888778828436</v>
      </c>
      <c r="V26">
        <f t="shared" si="14"/>
        <v>0.8919712218426894</v>
      </c>
      <c r="W26">
        <f t="shared" si="14"/>
        <v>0.89274661917371934</v>
      </c>
      <c r="X26">
        <f t="shared" si="14"/>
        <v>0.89333449402527054</v>
      </c>
      <c r="Y26">
        <f t="shared" si="14"/>
        <v>0.89381169460607746</v>
      </c>
      <c r="Z26">
        <f t="shared" si="14"/>
        <v>0.89421190352404101</v>
      </c>
      <c r="AA26">
        <f t="shared" si="14"/>
        <v>0.89455639672477083</v>
      </c>
      <c r="AB26">
        <f t="shared" si="14"/>
        <v>0.89485950846722517</v>
      </c>
      <c r="AC26">
        <f t="shared" si="14"/>
        <v>0.89513103060378496</v>
      </c>
      <c r="AD26">
        <f t="shared" si="14"/>
        <v>0.89537771220433626</v>
      </c>
      <c r="AE26">
        <f t="shared" si="14"/>
        <v>0.89560425487477557</v>
      </c>
      <c r="AF26">
        <f t="shared" si="14"/>
        <v>0.89581397920145134</v>
      </c>
      <c r="AG26">
        <f t="shared" si="14"/>
        <v>0.89600927177045309</v>
      </c>
      <c r="AH26">
        <f t="shared" si="14"/>
        <v>0.8961918852332228</v>
      </c>
      <c r="AI26">
        <f t="shared" si="14"/>
        <v>0.89636313986310767</v>
      </c>
    </row>
    <row r="27" spans="1:35">
      <c r="A27" t="s">
        <v>14</v>
      </c>
      <c r="B27" s="28">
        <v>6.3773583469518225E-2</v>
      </c>
      <c r="C27" s="36">
        <v>0.90209129860381354</v>
      </c>
      <c r="J27" s="8" t="s">
        <v>31</v>
      </c>
      <c r="K27">
        <f t="shared" ref="K27:AI27" si="15">qa2_/wa</f>
        <v>2.9775358466472383E-26</v>
      </c>
      <c r="L27">
        <f t="shared" si="15"/>
        <v>9.6746379542328672E-18</v>
      </c>
      <c r="M27">
        <f t="shared" si="15"/>
        <v>3.1298229333341796E-9</v>
      </c>
      <c r="N27">
        <f t="shared" si="15"/>
        <v>0.4977733200355281</v>
      </c>
      <c r="O27">
        <f t="shared" si="15"/>
        <v>0.66323354747108754</v>
      </c>
      <c r="P27">
        <f t="shared" si="15"/>
        <v>0.44813477110198058</v>
      </c>
      <c r="Q27">
        <f t="shared" si="15"/>
        <v>0.30145893327945555</v>
      </c>
      <c r="R27">
        <f t="shared" si="15"/>
        <v>0.20024080352593018</v>
      </c>
      <c r="S27">
        <f t="shared" si="15"/>
        <v>0.1328573921661455</v>
      </c>
      <c r="T27">
        <f t="shared" si="15"/>
        <v>8.9045315484219775E-2</v>
      </c>
      <c r="U27">
        <f t="shared" si="15"/>
        <v>5.9764784735564673E-2</v>
      </c>
      <c r="V27">
        <f t="shared" si="15"/>
        <v>4.0104941562643076E-2</v>
      </c>
      <c r="W27">
        <f t="shared" si="15"/>
        <v>2.6905986328481301E-2</v>
      </c>
      <c r="X27">
        <f t="shared" si="15"/>
        <v>1.8047863877726451E-2</v>
      </c>
      <c r="Y27">
        <f t="shared" si="15"/>
        <v>1.2104598528150278E-2</v>
      </c>
      <c r="Z27">
        <f t="shared" si="15"/>
        <v>8.1177879038071814E-3</v>
      </c>
      <c r="AA27">
        <f t="shared" si="15"/>
        <v>5.4437472001293953E-3</v>
      </c>
      <c r="AB27">
        <f t="shared" si="15"/>
        <v>3.6503800820541733E-3</v>
      </c>
      <c r="AC27">
        <f t="shared" si="15"/>
        <v>2.4477263735696183E-3</v>
      </c>
      <c r="AD27">
        <f t="shared" si="15"/>
        <v>1.6412531485355177E-3</v>
      </c>
      <c r="AE27">
        <f t="shared" si="15"/>
        <v>1.1004707062484671E-3</v>
      </c>
      <c r="AF27">
        <f t="shared" si="15"/>
        <v>7.3785873762900397E-4</v>
      </c>
      <c r="AG27">
        <f t="shared" si="15"/>
        <v>4.947216852924551E-4</v>
      </c>
      <c r="AH27">
        <f t="shared" si="15"/>
        <v>3.3169773644068441E-4</v>
      </c>
      <c r="AI27">
        <f t="shared" si="15"/>
        <v>2.2239168670134713E-4</v>
      </c>
    </row>
    <row r="28" spans="1:35">
      <c r="A28" t="s">
        <v>15</v>
      </c>
      <c r="B28" s="28">
        <v>6.5291906864652541E-2</v>
      </c>
      <c r="C28" s="36">
        <v>1.0418238884169517</v>
      </c>
      <c r="J28" s="8" t="s">
        <v>32</v>
      </c>
      <c r="K28">
        <f t="shared" ref="K28:AI28" si="16">qa3_/wa</f>
        <v>7.575531954898778E-3</v>
      </c>
      <c r="L28">
        <f t="shared" si="16"/>
        <v>8.1601013991666138E-2</v>
      </c>
      <c r="M28">
        <f t="shared" si="16"/>
        <v>0.5089341799273801</v>
      </c>
      <c r="N28">
        <f t="shared" si="16"/>
        <v>0.87515607249219207</v>
      </c>
      <c r="O28">
        <f t="shared" si="16"/>
        <v>0.8892797277063702</v>
      </c>
      <c r="P28">
        <f t="shared" si="16"/>
        <v>0.85794593445985889</v>
      </c>
      <c r="Q28">
        <f t="shared" si="16"/>
        <v>0.81941313906123159</v>
      </c>
      <c r="R28">
        <f t="shared" si="16"/>
        <v>0.7724111092998891</v>
      </c>
      <c r="S28">
        <f t="shared" si="16"/>
        <v>0.72725415285081696</v>
      </c>
      <c r="T28">
        <f t="shared" si="16"/>
        <v>0.69169518729284596</v>
      </c>
      <c r="U28">
        <f t="shared" si="16"/>
        <v>0.65879776213332308</v>
      </c>
      <c r="V28">
        <f t="shared" si="16"/>
        <v>0.62734683749516307</v>
      </c>
      <c r="W28">
        <f t="shared" si="16"/>
        <v>0.59725777369046773</v>
      </c>
      <c r="X28">
        <f t="shared" si="16"/>
        <v>0.56851479248261605</v>
      </c>
      <c r="Y28">
        <f t="shared" si="16"/>
        <v>0.54108989202413216</v>
      </c>
      <c r="Z28">
        <f t="shared" si="16"/>
        <v>0.5149437603102025</v>
      </c>
      <c r="AA28">
        <f t="shared" si="16"/>
        <v>0.49003050648089547</v>
      </c>
      <c r="AB28">
        <f t="shared" si="16"/>
        <v>0.46630097476777899</v>
      </c>
      <c r="AC28">
        <f t="shared" si="16"/>
        <v>0.44370484723389803</v>
      </c>
      <c r="AD28">
        <f t="shared" si="16"/>
        <v>0.42219194855193382</v>
      </c>
      <c r="AE28">
        <f t="shared" si="16"/>
        <v>0.40171304006891051</v>
      </c>
      <c r="AF28">
        <f t="shared" si="16"/>
        <v>0.3822202888854172</v>
      </c>
      <c r="AG28">
        <f t="shared" si="16"/>
        <v>0.36366753087216508</v>
      </c>
      <c r="AH28">
        <f t="shared" si="16"/>
        <v>0.34601040360612179</v>
      </c>
      <c r="AI28">
        <f t="shared" si="16"/>
        <v>0.32920639771940857</v>
      </c>
    </row>
    <row r="29" spans="1:35">
      <c r="A29" t="s">
        <v>19</v>
      </c>
      <c r="B29" s="28">
        <v>2.3330818388441223E-2</v>
      </c>
      <c r="C29" s="36">
        <v>1.0734109767966595</v>
      </c>
    </row>
    <row r="30" spans="1:35">
      <c r="A30" t="s">
        <v>95</v>
      </c>
      <c r="B30" s="28">
        <f>AVERAGE(B27:B29)</f>
        <v>5.079876957420399E-2</v>
      </c>
      <c r="C30" s="36"/>
      <c r="G30" t="s">
        <v>58</v>
      </c>
      <c r="H30" t="s">
        <v>59</v>
      </c>
      <c r="J30" s="2" t="s">
        <v>51</v>
      </c>
    </row>
    <row r="31" spans="1:35">
      <c r="G31">
        <f>SUMPRODUCT(dlz1_,wa,ma)</f>
        <v>-128.6704039304623</v>
      </c>
      <c r="H31">
        <f>Ro/(reck-1)*phie/phif^2*dphif</f>
        <v>-3.2201521453196234E-2</v>
      </c>
      <c r="J31" s="8" t="s">
        <v>52</v>
      </c>
      <c r="K31">
        <v>0</v>
      </c>
      <c r="L31">
        <f t="shared" ref="L31:AH31" si="17">K31*sa-K$7*K18*K$10</f>
        <v>-1.9500654369111785E-18</v>
      </c>
      <c r="M31">
        <f t="shared" si="17"/>
        <v>-4.6094475784261112E-14</v>
      </c>
      <c r="N31">
        <f t="shared" si="17"/>
        <v>-2.274014970811165E-10</v>
      </c>
      <c r="O31">
        <f t="shared" si="17"/>
        <v>-3.0541910045634833E-7</v>
      </c>
      <c r="P31">
        <f t="shared" si="17"/>
        <v>-9.1803615803591715E-5</v>
      </c>
      <c r="Q31">
        <f t="shared" si="17"/>
        <v>-2.1703966752147975E-3</v>
      </c>
      <c r="R31">
        <f t="shared" si="17"/>
        <v>-2.2367180799586661E-2</v>
      </c>
      <c r="S31">
        <f t="shared" si="17"/>
        <v>-0.1275765412037814</v>
      </c>
      <c r="T31">
        <f t="shared" si="17"/>
        <v>-0.26084698813547863</v>
      </c>
      <c r="U31">
        <f t="shared" si="17"/>
        <v>-0.34194873710106116</v>
      </c>
      <c r="V31">
        <f t="shared" si="17"/>
        <v>-0.37883322161542476</v>
      </c>
      <c r="W31">
        <f t="shared" si="17"/>
        <v>-0.38616555579588008</v>
      </c>
      <c r="X31">
        <f t="shared" si="17"/>
        <v>-0.3747429264546957</v>
      </c>
      <c r="Y31">
        <f t="shared" si="17"/>
        <v>-0.35206303583852089</v>
      </c>
      <c r="Z31">
        <f t="shared" si="17"/>
        <v>-0.32326205113189965</v>
      </c>
      <c r="AA31">
        <f t="shared" si="17"/>
        <v>-0.29180367631945264</v>
      </c>
      <c r="AB31">
        <f t="shared" si="17"/>
        <v>-0.25996891457737931</v>
      </c>
      <c r="AC31">
        <f t="shared" si="17"/>
        <v>-0.22920614419122862</v>
      </c>
      <c r="AD31">
        <f t="shared" si="17"/>
        <v>-0.20038248054649416</v>
      </c>
      <c r="AE31">
        <f t="shared" si="17"/>
        <v>-0.17396441657105335</v>
      </c>
      <c r="AF31">
        <f t="shared" si="17"/>
        <v>-0.15014734210278069</v>
      </c>
      <c r="AG31">
        <f t="shared" si="17"/>
        <v>-0.12894794138194385</v>
      </c>
      <c r="AH31">
        <f t="shared" si="17"/>
        <v>-0.11026959978572752</v>
      </c>
      <c r="AI31">
        <f>(AH31*sa-AH$7*AH18*AH$10)/oa-AH$7*AH$10*flt1_*sa/oa^2</f>
        <v>-0.58531288690435845</v>
      </c>
    </row>
    <row r="32" spans="1:35">
      <c r="A32" s="12" t="s">
        <v>22</v>
      </c>
      <c r="B32" s="12"/>
      <c r="C32" s="12"/>
      <c r="G32">
        <f>SUMPRODUCT(dlz2_,wa,ma)</f>
        <v>-50.2173136684412</v>
      </c>
      <c r="H32">
        <f>Ro/(reck-1)*phie/phif^2*dphif</f>
        <v>-1.2567566853136742E-2</v>
      </c>
      <c r="J32" s="8" t="s">
        <v>53</v>
      </c>
      <c r="K32">
        <v>0</v>
      </c>
      <c r="L32">
        <f t="shared" ref="L32:AH32" si="18">K32*sa-K$7*K19*K$10</f>
        <v>-2.7595322288945356E-26</v>
      </c>
      <c r="M32">
        <f t="shared" si="18"/>
        <v>-7.7085354677206983E-18</v>
      </c>
      <c r="N32">
        <f t="shared" si="18"/>
        <v>-2.1301563108275772E-9</v>
      </c>
      <c r="O32">
        <f t="shared" si="18"/>
        <v>-0.28115521214775141</v>
      </c>
      <c r="P32">
        <f t="shared" si="18"/>
        <v>-0.53112873187347776</v>
      </c>
      <c r="Q32">
        <f t="shared" si="18"/>
        <v>-0.60087378484421405</v>
      </c>
      <c r="R32">
        <f t="shared" si="18"/>
        <v>-0.57468241969814415</v>
      </c>
      <c r="S32">
        <f t="shared" si="18"/>
        <v>-0.50207695884694759</v>
      </c>
      <c r="T32">
        <f t="shared" si="18"/>
        <v>-0.42162472106143362</v>
      </c>
      <c r="U32">
        <f t="shared" si="18"/>
        <v>-0.34688115009233356</v>
      </c>
      <c r="V32">
        <f t="shared" si="18"/>
        <v>-0.2819981804652566</v>
      </c>
      <c r="W32">
        <f t="shared" si="18"/>
        <v>-0.22760255865280968</v>
      </c>
      <c r="X32">
        <f t="shared" si="18"/>
        <v>-0.18289554081003426</v>
      </c>
      <c r="Y32">
        <f t="shared" si="18"/>
        <v>-0.14658439360741526</v>
      </c>
      <c r="Z32">
        <f t="shared" si="18"/>
        <v>-0.1173044633970137</v>
      </c>
      <c r="AA32">
        <f t="shared" si="18"/>
        <v>-9.3797882164372862E-2</v>
      </c>
      <c r="AB32">
        <f t="shared" si="18"/>
        <v>-7.497595823199095E-2</v>
      </c>
      <c r="AC32">
        <f t="shared" si="18"/>
        <v>-5.9927867763787952E-2</v>
      </c>
      <c r="AD32">
        <f t="shared" si="18"/>
        <v>-4.7906465730367678E-2</v>
      </c>
      <c r="AE32">
        <f t="shared" si="18"/>
        <v>-3.8306112429363902E-2</v>
      </c>
      <c r="AF32">
        <f t="shared" si="18"/>
        <v>-3.0639432347497986E-2</v>
      </c>
      <c r="AG32">
        <f t="shared" si="18"/>
        <v>-2.4515959446467783E-2</v>
      </c>
      <c r="AH32">
        <f t="shared" si="18"/>
        <v>-1.9623697102074511E-2</v>
      </c>
      <c r="AI32">
        <f>(AH32*sa-AH$7*AH19*AH$10)/oa-AH$7*AH$10*flt2_*sa/oa^2</f>
        <v>-7.8851396823512512E-2</v>
      </c>
    </row>
    <row r="33" spans="1:35">
      <c r="A33" t="s">
        <v>28</v>
      </c>
      <c r="B33" s="1">
        <f>SUMPRODUCT(lx,wa,ma)</f>
        <v>47.823341581284872</v>
      </c>
      <c r="G33">
        <f>SUMPRODUCT(dlz3_,wa,ma)</f>
        <v>-178.4681171663533</v>
      </c>
      <c r="H33">
        <f>Ro/(reck-1)*phie/phif^2*dphif</f>
        <v>-4.4664077581894446E-2</v>
      </c>
      <c r="J33" s="8" t="s">
        <v>54</v>
      </c>
      <c r="K33">
        <v>0</v>
      </c>
      <c r="L33">
        <f t="shared" ref="L33:AH33" si="19">K33*sa-K$7*K20*K$10</f>
        <v>-7.0208809086557081E-3</v>
      </c>
      <c r="M33">
        <f t="shared" si="19"/>
        <v>-7.0983537278007033E-2</v>
      </c>
      <c r="N33">
        <f t="shared" si="19"/>
        <v>-0.40399738511546845</v>
      </c>
      <c r="O33">
        <f t="shared" si="19"/>
        <v>-0.81806672873651354</v>
      </c>
      <c r="P33">
        <f t="shared" si="19"/>
        <v>-1.0715172789648963</v>
      </c>
      <c r="Q33">
        <f t="shared" si="19"/>
        <v>-1.1952397420202971</v>
      </c>
      <c r="R33">
        <f t="shared" si="19"/>
        <v>-1.2093001489592852</v>
      </c>
      <c r="S33">
        <f t="shared" si="19"/>
        <v>-1.1424106928609778</v>
      </c>
      <c r="T33">
        <f t="shared" si="19"/>
        <v>-1.0421726450711921</v>
      </c>
      <c r="U33">
        <f t="shared" si="19"/>
        <v>-0.92987336043702995</v>
      </c>
      <c r="V33">
        <f t="shared" si="19"/>
        <v>-0.81640153939359783</v>
      </c>
      <c r="W33">
        <f t="shared" si="19"/>
        <v>-0.70797140158372052</v>
      </c>
      <c r="X33">
        <f t="shared" si="19"/>
        <v>-0.60796937728938438</v>
      </c>
      <c r="Y33">
        <f t="shared" si="19"/>
        <v>-0.51797842486779666</v>
      </c>
      <c r="Z33">
        <f t="shared" si="19"/>
        <v>-0.43844136731297645</v>
      </c>
      <c r="AA33">
        <f t="shared" si="19"/>
        <v>-0.36910281287004193</v>
      </c>
      <c r="AB33">
        <f t="shared" si="19"/>
        <v>-0.30930411333176278</v>
      </c>
      <c r="AC33">
        <f t="shared" si="19"/>
        <v>-0.25817843085847925</v>
      </c>
      <c r="AD33">
        <f t="shared" si="19"/>
        <v>-0.2147773474629428</v>
      </c>
      <c r="AE33">
        <f t="shared" si="19"/>
        <v>-0.17815057364141959</v>
      </c>
      <c r="AF33">
        <f t="shared" si="19"/>
        <v>-0.14739374029983335</v>
      </c>
      <c r="AG33">
        <f t="shared" si="19"/>
        <v>-0.12167474157512667</v>
      </c>
      <c r="AH33">
        <f t="shared" si="19"/>
        <v>-0.10024593322437735</v>
      </c>
      <c r="AI33">
        <f>(AH33*sa-AH$7*AH20*AH$10)/oa-AH$7*AH$10*flt3_*sa/oa^2</f>
        <v>-0.45545865839712463</v>
      </c>
    </row>
    <row r="34" spans="1:35">
      <c r="A34" t="s">
        <v>27</v>
      </c>
      <c r="B34" s="1">
        <f>SUMPRODUCT(lz,wa,ma)</f>
        <v>19.059205544913624</v>
      </c>
      <c r="G34" t="s">
        <v>57</v>
      </c>
      <c r="J34" s="8"/>
    </row>
    <row r="35" spans="1:35">
      <c r="A35" t="s">
        <v>33</v>
      </c>
      <c r="B35" s="1">
        <f>SUMPRODUCT(lz,ta1_)</f>
        <v>1.0760110083049395</v>
      </c>
      <c r="C35" s="10"/>
      <c r="G35" s="1">
        <f>SUM(dqa11_)</f>
        <v>496.69567896212993</v>
      </c>
      <c r="H35" s="1">
        <f>SUM(dqa12_)</f>
        <v>509.30090945514411</v>
      </c>
      <c r="I35" s="11">
        <f>SUM(dqa13_)</f>
        <v>500.27770448693758</v>
      </c>
      <c r="J35" s="8" t="s">
        <v>62</v>
      </c>
      <c r="K35">
        <f>flt1_*qa1_+lz*wa*flt1_^2/za*(sa-oa/za)</f>
        <v>5.1338277760064442E-37</v>
      </c>
      <c r="L35">
        <f t="shared" ref="L35:AI35" si="20">flt1_*qa1_+lz*wa*flt1_^2/za*(sa-oa/za)</f>
        <v>2.9471562757715696E-27</v>
      </c>
      <c r="M35">
        <f t="shared" si="20"/>
        <v>2.9129940909261241E-19</v>
      </c>
      <c r="N35">
        <f t="shared" si="20"/>
        <v>1.5685179923788459E-12</v>
      </c>
      <c r="O35">
        <f t="shared" si="20"/>
        <v>3.594796606620333E-7</v>
      </c>
      <c r="P35">
        <f t="shared" si="20"/>
        <v>4.1031176792313752E-4</v>
      </c>
      <c r="Q35">
        <f t="shared" si="20"/>
        <v>7.7184040955090391E-2</v>
      </c>
      <c r="R35">
        <f t="shared" si="20"/>
        <v>4.0962671531060924</v>
      </c>
      <c r="S35">
        <f t="shared" si="20"/>
        <v>16.211111151167902</v>
      </c>
      <c r="T35">
        <f t="shared" si="20"/>
        <v>21.169060746347355</v>
      </c>
      <c r="U35">
        <f t="shared" si="20"/>
        <v>23.598431184648589</v>
      </c>
      <c r="V35">
        <f t="shared" si="20"/>
        <v>25.464885890505567</v>
      </c>
      <c r="W35">
        <f t="shared" si="20"/>
        <v>27.009679246958008</v>
      </c>
      <c r="X35">
        <f t="shared" si="20"/>
        <v>28.288551451321926</v>
      </c>
      <c r="Y35">
        <f t="shared" si="20"/>
        <v>29.340447871326116</v>
      </c>
      <c r="Z35">
        <f t="shared" si="20"/>
        <v>30.20074940496794</v>
      </c>
      <c r="AA35">
        <f t="shared" si="20"/>
        <v>30.901248752085149</v>
      </c>
      <c r="AB35">
        <f t="shared" si="20"/>
        <v>31.469714445631684</v>
      </c>
      <c r="AC35">
        <f t="shared" si="20"/>
        <v>31.929874784883072</v>
      </c>
      <c r="AD35">
        <f t="shared" si="20"/>
        <v>32.301683623495109</v>
      </c>
      <c r="AE35">
        <f t="shared" si="20"/>
        <v>32.601723129397016</v>
      </c>
      <c r="AF35">
        <f t="shared" si="20"/>
        <v>32.843651434970383</v>
      </c>
      <c r="AG35">
        <f t="shared" si="20"/>
        <v>33.038642493389595</v>
      </c>
      <c r="AH35">
        <f t="shared" si="20"/>
        <v>33.195790780755139</v>
      </c>
      <c r="AI35">
        <f t="shared" si="20"/>
        <v>32.956570704969074</v>
      </c>
    </row>
    <row r="36" spans="1:35">
      <c r="A36" t="s">
        <v>34</v>
      </c>
      <c r="B36" s="1">
        <f>SUMPRODUCT(lz,ta2_)</f>
        <v>1.0509876075857978</v>
      </c>
      <c r="C36" s="10"/>
      <c r="G36" s="1">
        <f>SUM(dqa21_)</f>
        <v>509.30090945514411</v>
      </c>
      <c r="H36" s="1">
        <f>SUM(dqa22_)</f>
        <v>10.938152888850977</v>
      </c>
      <c r="I36" s="11">
        <f>SUM(dqa23_)</f>
        <v>504.62782588588317</v>
      </c>
      <c r="J36" s="8" t="s">
        <v>63</v>
      </c>
      <c r="K36">
        <f t="shared" ref="K36:AI36" si="21">flt2_*qa2_+lz*wa*flt2_^2/za*(sa-oa/za)</f>
        <v>1.0280491225527625E-52</v>
      </c>
      <c r="L36">
        <f t="shared" si="21"/>
        <v>8.2429065494008084E-35</v>
      </c>
      <c r="M36">
        <f t="shared" si="21"/>
        <v>2.5569299495502825E-17</v>
      </c>
      <c r="N36">
        <f t="shared" si="21"/>
        <v>1.3307847285387764</v>
      </c>
      <c r="O36">
        <f t="shared" si="21"/>
        <v>3.9129788119753153</v>
      </c>
      <c r="P36">
        <f t="shared" si="21"/>
        <v>2.5439696205816693</v>
      </c>
      <c r="Q36">
        <f t="shared" si="21"/>
        <v>1.4952913176337459</v>
      </c>
      <c r="R36">
        <f t="shared" si="21"/>
        <v>0.81350454764204494</v>
      </c>
      <c r="S36">
        <f t="shared" si="21"/>
        <v>0.4230084983913453</v>
      </c>
      <c r="T36">
        <f t="shared" si="21"/>
        <v>0.21480562105165393</v>
      </c>
      <c r="U36">
        <f t="shared" si="21"/>
        <v>0.10627688424157915</v>
      </c>
      <c r="V36">
        <f t="shared" si="21"/>
        <v>5.1479678346915247E-2</v>
      </c>
      <c r="W36">
        <f t="shared" si="21"/>
        <v>2.4533574723230329E-2</v>
      </c>
      <c r="X36">
        <f t="shared" si="21"/>
        <v>1.1546068129149897E-2</v>
      </c>
      <c r="Y36">
        <f t="shared" si="21"/>
        <v>5.3811543989225642E-3</v>
      </c>
      <c r="Z36">
        <f t="shared" si="21"/>
        <v>2.488927386894743E-3</v>
      </c>
      <c r="AA36">
        <f t="shared" si="21"/>
        <v>1.1443436838343636E-3</v>
      </c>
      <c r="AB36">
        <f t="shared" si="21"/>
        <v>5.2367188748720175E-4</v>
      </c>
      <c r="AC36">
        <f t="shared" si="21"/>
        <v>2.3875348783717468E-4</v>
      </c>
      <c r="AD36">
        <f t="shared" si="21"/>
        <v>1.0853348396101791E-4</v>
      </c>
      <c r="AE36">
        <f t="shared" si="21"/>
        <v>4.9222677229467577E-5</v>
      </c>
      <c r="AF36">
        <f t="shared" si="21"/>
        <v>2.2282412650124304E-5</v>
      </c>
      <c r="AG36">
        <f t="shared" si="21"/>
        <v>1.0072078033813113E-5</v>
      </c>
      <c r="AH36">
        <f t="shared" si="21"/>
        <v>4.5474299737864761E-6</v>
      </c>
      <c r="AI36">
        <f t="shared" si="21"/>
        <v>2.0286687244783278E-6</v>
      </c>
    </row>
    <row r="37" spans="1:35">
      <c r="A37" t="s">
        <v>35</v>
      </c>
      <c r="B37" s="1">
        <f>SUMPRODUCT(lz,ta3_)</f>
        <v>2.9413091183279834</v>
      </c>
      <c r="C37" s="10"/>
      <c r="G37" s="1">
        <f>SUM(dqa31_)</f>
        <v>500.27770448693758</v>
      </c>
      <c r="H37" s="1">
        <f>SUM(dqa32_)</f>
        <v>504.62782588588317</v>
      </c>
      <c r="I37" s="1">
        <f>SUM(dqa33_)</f>
        <v>199.98687079189745</v>
      </c>
      <c r="J37" s="8" t="s">
        <v>64</v>
      </c>
      <c r="K37">
        <f t="shared" ref="K37:AI37" si="22">flt3_*qa3_+lz*wa*flt3_^2/za*(sa-oa/za)</f>
        <v>6.6546640901940832E-6</v>
      </c>
      <c r="L37">
        <f t="shared" si="22"/>
        <v>5.8641091260873048E-3</v>
      </c>
      <c r="M37">
        <f t="shared" si="22"/>
        <v>0.67608691580794389</v>
      </c>
      <c r="N37">
        <f t="shared" si="22"/>
        <v>4.1135388094311924</v>
      </c>
      <c r="O37">
        <f t="shared" si="22"/>
        <v>7.0347927872234735</v>
      </c>
      <c r="P37">
        <f t="shared" si="22"/>
        <v>9.3242621916487494</v>
      </c>
      <c r="Q37">
        <f t="shared" si="22"/>
        <v>11.047788269845519</v>
      </c>
      <c r="R37">
        <f t="shared" si="22"/>
        <v>12.104639206125357</v>
      </c>
      <c r="S37">
        <f t="shared" si="22"/>
        <v>12.675061212034985</v>
      </c>
      <c r="T37">
        <f t="shared" si="22"/>
        <v>12.961432300863828</v>
      </c>
      <c r="U37">
        <f t="shared" si="22"/>
        <v>12.913748523550105</v>
      </c>
      <c r="V37">
        <f t="shared" si="22"/>
        <v>12.596661962784776</v>
      </c>
      <c r="W37">
        <f t="shared" si="22"/>
        <v>12.088895419125709</v>
      </c>
      <c r="X37">
        <f t="shared" si="22"/>
        <v>11.456871469182351</v>
      </c>
      <c r="Y37">
        <f t="shared" si="22"/>
        <v>10.752600630846509</v>
      </c>
      <c r="Z37">
        <f t="shared" si="22"/>
        <v>10.015126202353892</v>
      </c>
      <c r="AA37">
        <f t="shared" si="22"/>
        <v>9.2727129121006282</v>
      </c>
      <c r="AB37">
        <f t="shared" si="22"/>
        <v>8.5450721606594975</v>
      </c>
      <c r="AC37">
        <f t="shared" si="22"/>
        <v>7.8453502387972982</v>
      </c>
      <c r="AD37">
        <f t="shared" si="22"/>
        <v>7.1817865508164394</v>
      </c>
      <c r="AE37">
        <f t="shared" si="22"/>
        <v>6.5590375591049632</v>
      </c>
      <c r="AF37">
        <f t="shared" si="22"/>
        <v>5.9792021476727557</v>
      </c>
      <c r="AG37">
        <f t="shared" si="22"/>
        <v>5.4425978146852065</v>
      </c>
      <c r="AH37">
        <f t="shared" si="22"/>
        <v>4.9483375638740847</v>
      </c>
      <c r="AI37">
        <f t="shared" si="22"/>
        <v>4.4453971795720797</v>
      </c>
    </row>
    <row r="38" spans="1:35">
      <c r="A38" s="1" t="s">
        <v>36</v>
      </c>
      <c r="B38" s="1">
        <f>SUMPRODUCT(lz,qa1_)</f>
        <v>30.576325631511292</v>
      </c>
      <c r="G38" t="s">
        <v>69</v>
      </c>
      <c r="J38" s="8" t="s">
        <v>60</v>
      </c>
      <c r="K38">
        <f t="shared" ref="K38:AI38" si="23">flt1_*qa1_+lz*wa*flt2_*flt1_/za*(sa-oa/za)</f>
        <v>1.0017006743131573E-36</v>
      </c>
      <c r="L38">
        <f t="shared" si="23"/>
        <v>5.0754547389390921E-27</v>
      </c>
      <c r="M38">
        <f t="shared" si="23"/>
        <v>-1.0773319507201699E-18</v>
      </c>
      <c r="N38">
        <f t="shared" si="23"/>
        <v>-6.2842997010509007E-7</v>
      </c>
      <c r="O38">
        <f t="shared" si="23"/>
        <v>-3.8543145753513423E-4</v>
      </c>
      <c r="P38">
        <f t="shared" si="23"/>
        <v>-7.4300705220356296E-3</v>
      </c>
      <c r="Q38">
        <f t="shared" si="23"/>
        <v>2.6822695109442962E-2</v>
      </c>
      <c r="R38">
        <f t="shared" si="23"/>
        <v>4.4405887603388843</v>
      </c>
      <c r="S38">
        <f t="shared" si="23"/>
        <v>17.816801330452652</v>
      </c>
      <c r="T38">
        <f t="shared" si="23"/>
        <v>22.898713978574992</v>
      </c>
      <c r="U38">
        <f t="shared" si="23"/>
        <v>25.145993003826316</v>
      </c>
      <c r="V38">
        <f t="shared" si="23"/>
        <v>26.796869253833993</v>
      </c>
      <c r="W38">
        <f t="shared" si="23"/>
        <v>28.133623751053872</v>
      </c>
      <c r="X38">
        <f t="shared" si="23"/>
        <v>29.224100858673573</v>
      </c>
      <c r="Y38">
        <f t="shared" si="23"/>
        <v>30.111515750507625</v>
      </c>
      <c r="Z38">
        <f t="shared" si="23"/>
        <v>30.831653717672641</v>
      </c>
      <c r="AA38">
        <f t="shared" si="23"/>
        <v>31.41470671108608</v>
      </c>
      <c r="AB38">
        <f t="shared" si="23"/>
        <v>31.885934353540922</v>
      </c>
      <c r="AC38">
        <f t="shared" si="23"/>
        <v>32.266283270476272</v>
      </c>
      <c r="AD38">
        <f t="shared" si="23"/>
        <v>32.572998357111942</v>
      </c>
      <c r="AE38">
        <f t="shared" si="23"/>
        <v>32.82019483981918</v>
      </c>
      <c r="AF38">
        <f t="shared" si="23"/>
        <v>33.019372502336957</v>
      </c>
      <c r="AG38">
        <f t="shared" si="23"/>
        <v>33.17986520000661</v>
      </c>
      <c r="AH38">
        <f t="shared" si="23"/>
        <v>33.309225973767802</v>
      </c>
      <c r="AI38">
        <f t="shared" si="23"/>
        <v>33.413461277363844</v>
      </c>
    </row>
    <row r="39" spans="1:35">
      <c r="A39" s="1" t="s">
        <v>37</v>
      </c>
      <c r="B39" s="1">
        <f>SUMPRODUCT(lz,qa2_)</f>
        <v>12.924718334464302</v>
      </c>
      <c r="G39" s="1">
        <f>re*phi_q1+f1_*phi_q1*$H31+f1_*re*G35</f>
        <v>1.060328571983868</v>
      </c>
      <c r="H39" s="1">
        <f>re*phi_q1+f1_*phi_q1*$H32+f1_*re*H35</f>
        <v>1.1131171688933663</v>
      </c>
      <c r="I39" s="1">
        <f>re*phi_q1+f1_*phi_q1*$H33+f1_*re*I35</f>
        <v>1.0401484153659204</v>
      </c>
      <c r="J39" s="8" t="s">
        <v>66</v>
      </c>
      <c r="K39">
        <f t="shared" ref="K39:AI39" si="24">flt1_*qa1_+lz*wa*flt3_*flt1_/za*(sa-oa/za)</f>
        <v>-1.758106052240877E-21</v>
      </c>
      <c r="L39">
        <f t="shared" si="24"/>
        <v>-3.0026492781114584E-15</v>
      </c>
      <c r="M39">
        <f t="shared" si="24"/>
        <v>-2.4914285735134245E-10</v>
      </c>
      <c r="N39">
        <f t="shared" si="24"/>
        <v>-1.1048706946341158E-6</v>
      </c>
      <c r="O39">
        <f t="shared" si="24"/>
        <v>-5.1695829031705629E-4</v>
      </c>
      <c r="P39">
        <f t="shared" si="24"/>
        <v>-1.4692186984368229E-2</v>
      </c>
      <c r="Q39">
        <f t="shared" si="24"/>
        <v>-8.5144609074525049E-2</v>
      </c>
      <c r="R39">
        <f t="shared" si="24"/>
        <v>3.6496691537724524</v>
      </c>
      <c r="S39">
        <f t="shared" si="24"/>
        <v>16.432801712913658</v>
      </c>
      <c r="T39">
        <f t="shared" si="24"/>
        <v>21.587430972155349</v>
      </c>
      <c r="U39">
        <f t="shared" si="24"/>
        <v>24.030157681344406</v>
      </c>
      <c r="V39">
        <f t="shared" si="24"/>
        <v>25.878654207953296</v>
      </c>
      <c r="W39">
        <f t="shared" si="24"/>
        <v>27.393252217899757</v>
      </c>
      <c r="X39">
        <f t="shared" si="24"/>
        <v>28.635734726842934</v>
      </c>
      <c r="Y39">
        <f t="shared" si="24"/>
        <v>29.648909097812496</v>
      </c>
      <c r="Z39">
        <f t="shared" si="24"/>
        <v>30.470790592475009</v>
      </c>
      <c r="AA39">
        <f t="shared" si="24"/>
        <v>31.134860362580966</v>
      </c>
      <c r="AB39">
        <f t="shared" si="24"/>
        <v>31.669863420489367</v>
      </c>
      <c r="AC39">
        <f t="shared" si="24"/>
        <v>32.099995137739384</v>
      </c>
      <c r="AD39">
        <f t="shared" si="24"/>
        <v>32.445330297093115</v>
      </c>
      <c r="AE39">
        <f t="shared" si="24"/>
        <v>32.722350074045899</v>
      </c>
      <c r="AF39">
        <f t="shared" si="24"/>
        <v>32.944479989538799</v>
      </c>
      <c r="AG39">
        <f t="shared" si="24"/>
        <v>33.122592822826142</v>
      </c>
      <c r="AH39">
        <f t="shared" si="24"/>
        <v>33.265455605056296</v>
      </c>
      <c r="AI39">
        <f t="shared" si="24"/>
        <v>33.245731273867314</v>
      </c>
    </row>
    <row r="40" spans="1:35">
      <c r="A40" s="1" t="s">
        <v>38</v>
      </c>
      <c r="B40" s="1">
        <f>SUMPRODUCT(lz,qa3_)</f>
        <v>43.185619986929431</v>
      </c>
      <c r="G40" s="1">
        <f>re*phi_q1+f1_*phi_q1*$H32+f1_*re*G36</f>
        <v>1.1131171688933663</v>
      </c>
      <c r="H40" s="1">
        <f>re*phi_q2+f2_*phi_q2*$H32+f2_*re*H36</f>
        <v>0.23545919264713377</v>
      </c>
      <c r="I40" s="1">
        <f>re*phi_q3+f3_*phi_q3*$H33+f3_*re*I36</f>
        <v>0.94653580531552217</v>
      </c>
      <c r="J40" s="8" t="s">
        <v>65</v>
      </c>
      <c r="K40">
        <f t="shared" ref="K40:AI40" si="25">flt1_*qa1_+lz*wa*flt1_*flt2_/za*(sa-oa/za)</f>
        <v>1.0017006743131573E-36</v>
      </c>
      <c r="L40">
        <f t="shared" si="25"/>
        <v>5.0754547389390921E-27</v>
      </c>
      <c r="M40">
        <f t="shared" si="25"/>
        <v>-1.0773319507201699E-18</v>
      </c>
      <c r="N40">
        <f t="shared" si="25"/>
        <v>-6.2842997010508997E-7</v>
      </c>
      <c r="O40">
        <f t="shared" si="25"/>
        <v>-3.8543145753513423E-4</v>
      </c>
      <c r="P40">
        <f t="shared" si="25"/>
        <v>-7.4300705220356296E-3</v>
      </c>
      <c r="Q40">
        <f t="shared" si="25"/>
        <v>2.6822695109442962E-2</v>
      </c>
      <c r="R40">
        <f t="shared" si="25"/>
        <v>4.4405887603388843</v>
      </c>
      <c r="S40">
        <f t="shared" si="25"/>
        <v>17.816801330452652</v>
      </c>
      <c r="T40">
        <f t="shared" si="25"/>
        <v>22.898713978574992</v>
      </c>
      <c r="U40">
        <f t="shared" si="25"/>
        <v>25.145993003826316</v>
      </c>
      <c r="V40">
        <f t="shared" si="25"/>
        <v>26.796869253833993</v>
      </c>
      <c r="W40">
        <f t="shared" si="25"/>
        <v>28.133623751053872</v>
      </c>
      <c r="X40">
        <f t="shared" si="25"/>
        <v>29.224100858673573</v>
      </c>
      <c r="Y40">
        <f t="shared" si="25"/>
        <v>30.111515750507625</v>
      </c>
      <c r="Z40">
        <f t="shared" si="25"/>
        <v>30.831653717672641</v>
      </c>
      <c r="AA40">
        <f t="shared" si="25"/>
        <v>31.41470671108608</v>
      </c>
      <c r="AB40">
        <f t="shared" si="25"/>
        <v>31.885934353540922</v>
      </c>
      <c r="AC40">
        <f t="shared" si="25"/>
        <v>32.266283270476272</v>
      </c>
      <c r="AD40">
        <f t="shared" si="25"/>
        <v>32.572998357111942</v>
      </c>
      <c r="AE40">
        <f t="shared" si="25"/>
        <v>32.82019483981918</v>
      </c>
      <c r="AF40">
        <f t="shared" si="25"/>
        <v>33.019372502336957</v>
      </c>
      <c r="AG40">
        <f t="shared" si="25"/>
        <v>33.17986520000661</v>
      </c>
      <c r="AH40">
        <f t="shared" si="25"/>
        <v>33.309225973767802</v>
      </c>
      <c r="AI40">
        <f t="shared" si="25"/>
        <v>33.413461277363844</v>
      </c>
    </row>
    <row r="41" spans="1:35">
      <c r="G41" s="1">
        <f>re*phi_q1+f1_*phi_q1*$H33+f1_*re*G37</f>
        <v>1.0401484153659204</v>
      </c>
      <c r="H41" s="1">
        <f>re*phi_q3+f3_*phi_q3*$H33+f3_*re*H37</f>
        <v>0.94653580531552217</v>
      </c>
      <c r="I41" s="1">
        <f>re*phi_q3+f1_*phi_q3*$H33+f3_*re*I37</f>
        <v>0.74029827580357754</v>
      </c>
      <c r="J41" s="8" t="s">
        <v>67</v>
      </c>
      <c r="K41">
        <f t="shared" ref="K41:AI41" si="26">flt1_*qa1_+lz*wa*flt3_*flt2_/za*(sa-oa/za)</f>
        <v>-2.4878909321728745E-29</v>
      </c>
      <c r="L41">
        <f t="shared" si="26"/>
        <v>-5.0216126400920869E-19</v>
      </c>
      <c r="M41">
        <f t="shared" si="26"/>
        <v>-2.3341999471416915E-9</v>
      </c>
      <c r="N41">
        <f t="shared" si="26"/>
        <v>-1.0177040226024547</v>
      </c>
      <c r="O41">
        <f t="shared" si="26"/>
        <v>-1.7071514337080271</v>
      </c>
      <c r="P41">
        <f t="shared" si="26"/>
        <v>-1.1966105797264956</v>
      </c>
      <c r="Q41">
        <f t="shared" si="26"/>
        <v>-0.6876642972759307</v>
      </c>
      <c r="R41">
        <f t="shared" si="26"/>
        <v>4.2415660532289809</v>
      </c>
      <c r="S41">
        <f t="shared" si="26"/>
        <v>17.852612240557324</v>
      </c>
      <c r="T41">
        <f t="shared" si="26"/>
        <v>22.940857691583339</v>
      </c>
      <c r="U41">
        <f t="shared" si="26"/>
        <v>25.174965542047076</v>
      </c>
      <c r="V41">
        <f t="shared" si="26"/>
        <v>26.81547316591698</v>
      </c>
      <c r="W41">
        <f t="shared" si="26"/>
        <v>28.145184040267498</v>
      </c>
      <c r="X41">
        <f t="shared" si="26"/>
        <v>29.231114935191531</v>
      </c>
      <c r="Y41">
        <f t="shared" si="26"/>
        <v>30.115693139694464</v>
      </c>
      <c r="Z41">
        <f t="shared" si="26"/>
        <v>30.834105191508801</v>
      </c>
      <c r="AA41">
        <f t="shared" si="26"/>
        <v>31.416128334759232</v>
      </c>
      <c r="AB41">
        <f t="shared" si="26"/>
        <v>31.886750816711228</v>
      </c>
      <c r="AC41">
        <f t="shared" si="26"/>
        <v>32.266748462789053</v>
      </c>
      <c r="AD41">
        <f t="shared" si="26"/>
        <v>32.573261665604107</v>
      </c>
      <c r="AE41">
        <f t="shared" si="26"/>
        <v>32.820343059770401</v>
      </c>
      <c r="AF41">
        <f t="shared" si="26"/>
        <v>33.019455552201904</v>
      </c>
      <c r="AG41">
        <f t="shared" si="26"/>
        <v>33.179911552259611</v>
      </c>
      <c r="AH41">
        <f t="shared" si="26"/>
        <v>33.309251758050067</v>
      </c>
      <c r="AI41">
        <f t="shared" si="26"/>
        <v>33.41353301938868</v>
      </c>
    </row>
    <row r="42" spans="1:35">
      <c r="A42" s="15" t="s">
        <v>39</v>
      </c>
      <c r="B42" s="16"/>
      <c r="C42" s="16"/>
      <c r="J42" s="8" t="s">
        <v>68</v>
      </c>
      <c r="K42">
        <f t="shared" ref="K42:AI42" si="27">flt1_*qa1_+lz*wa*flt1_*flt3_/za*(sa-oa/za)</f>
        <v>-1.758106052240877E-21</v>
      </c>
      <c r="L42">
        <f t="shared" si="27"/>
        <v>-3.0026492781114584E-15</v>
      </c>
      <c r="M42">
        <f t="shared" si="27"/>
        <v>-2.4914285735134245E-10</v>
      </c>
      <c r="N42">
        <f t="shared" si="27"/>
        <v>-1.1048706946341158E-6</v>
      </c>
      <c r="O42">
        <f t="shared" si="27"/>
        <v>-5.1695829031705629E-4</v>
      </c>
      <c r="P42">
        <f t="shared" si="27"/>
        <v>-1.4692186984368229E-2</v>
      </c>
      <c r="Q42">
        <f t="shared" si="27"/>
        <v>-8.5144609074525049E-2</v>
      </c>
      <c r="R42">
        <f t="shared" si="27"/>
        <v>3.6496691537724524</v>
      </c>
      <c r="S42">
        <f t="shared" si="27"/>
        <v>16.432801712913658</v>
      </c>
      <c r="T42">
        <f t="shared" si="27"/>
        <v>21.587430972155349</v>
      </c>
      <c r="U42">
        <f t="shared" si="27"/>
        <v>24.030157681344406</v>
      </c>
      <c r="V42">
        <f t="shared" si="27"/>
        <v>25.8786542079533</v>
      </c>
      <c r="W42">
        <f t="shared" si="27"/>
        <v>27.393252217899757</v>
      </c>
      <c r="X42">
        <f t="shared" si="27"/>
        <v>28.635734726842934</v>
      </c>
      <c r="Y42">
        <f t="shared" si="27"/>
        <v>29.648909097812496</v>
      </c>
      <c r="Z42">
        <f t="shared" si="27"/>
        <v>30.470790592475009</v>
      </c>
      <c r="AA42">
        <f t="shared" si="27"/>
        <v>31.134860362580966</v>
      </c>
      <c r="AB42">
        <f t="shared" si="27"/>
        <v>31.669863420489367</v>
      </c>
      <c r="AC42">
        <f t="shared" si="27"/>
        <v>32.099995137739384</v>
      </c>
      <c r="AD42">
        <f t="shared" si="27"/>
        <v>32.445330297093115</v>
      </c>
      <c r="AE42">
        <f t="shared" si="27"/>
        <v>32.722350074045899</v>
      </c>
      <c r="AF42">
        <f t="shared" si="27"/>
        <v>32.944479989538799</v>
      </c>
      <c r="AG42">
        <f t="shared" si="27"/>
        <v>33.122592822826142</v>
      </c>
      <c r="AH42">
        <f t="shared" si="27"/>
        <v>33.265455605056296</v>
      </c>
      <c r="AI42">
        <f t="shared" si="27"/>
        <v>33.245731273867314</v>
      </c>
    </row>
    <row r="43" spans="1:35">
      <c r="A43" s="1" t="s">
        <v>40</v>
      </c>
      <c r="B43" s="1">
        <f>phif/phie</f>
        <v>0.39853353853408335</v>
      </c>
      <c r="J43" s="8" t="s">
        <v>61</v>
      </c>
      <c r="K43">
        <f t="shared" ref="K43:AI43" si="28">flt1_*qa1_+lz*wa*flt2_*flt3_/za*(sa-oa/za)</f>
        <v>-2.4878909321728745E-29</v>
      </c>
      <c r="L43">
        <f t="shared" si="28"/>
        <v>-5.021612640092086E-19</v>
      </c>
      <c r="M43">
        <f t="shared" si="28"/>
        <v>-2.3341999471416915E-9</v>
      </c>
      <c r="N43">
        <f t="shared" si="28"/>
        <v>-1.0177040226024547</v>
      </c>
      <c r="O43">
        <f t="shared" si="28"/>
        <v>-1.7071514337080271</v>
      </c>
      <c r="P43">
        <f t="shared" si="28"/>
        <v>-1.1966105797264956</v>
      </c>
      <c r="Q43">
        <f t="shared" si="28"/>
        <v>-0.6876642972759307</v>
      </c>
      <c r="R43">
        <f t="shared" si="28"/>
        <v>4.2415660532289809</v>
      </c>
      <c r="S43">
        <f t="shared" si="28"/>
        <v>17.852612240557324</v>
      </c>
      <c r="T43">
        <f t="shared" si="28"/>
        <v>22.940857691583339</v>
      </c>
      <c r="U43">
        <f t="shared" si="28"/>
        <v>25.174965542047076</v>
      </c>
      <c r="V43">
        <f t="shared" si="28"/>
        <v>26.81547316591698</v>
      </c>
      <c r="W43">
        <f t="shared" si="28"/>
        <v>28.145184040267498</v>
      </c>
      <c r="X43">
        <f t="shared" si="28"/>
        <v>29.231114935191531</v>
      </c>
      <c r="Y43">
        <f t="shared" si="28"/>
        <v>30.115693139694464</v>
      </c>
      <c r="Z43">
        <f t="shared" si="28"/>
        <v>30.834105191508801</v>
      </c>
      <c r="AA43">
        <f t="shared" si="28"/>
        <v>31.416128334759232</v>
      </c>
      <c r="AB43">
        <f t="shared" si="28"/>
        <v>31.886750816711228</v>
      </c>
      <c r="AC43">
        <f t="shared" si="28"/>
        <v>32.266748462789053</v>
      </c>
      <c r="AD43">
        <f t="shared" si="28"/>
        <v>32.573261665604107</v>
      </c>
      <c r="AE43">
        <f t="shared" si="28"/>
        <v>32.820343059770401</v>
      </c>
      <c r="AF43">
        <f t="shared" si="28"/>
        <v>33.019455552201904</v>
      </c>
      <c r="AG43">
        <f t="shared" si="28"/>
        <v>33.179911552259611</v>
      </c>
      <c r="AH43">
        <f t="shared" si="28"/>
        <v>33.309251758050067</v>
      </c>
      <c r="AI43">
        <f t="shared" si="28"/>
        <v>33.41353301938868</v>
      </c>
    </row>
    <row r="44" spans="1:35">
      <c r="A44" s="1" t="s">
        <v>41</v>
      </c>
      <c r="B44" s="11">
        <f>MAX(0,Ro*(reck-1/spr)/(reck-1))</f>
        <v>1.8041400964987988E-2</v>
      </c>
    </row>
    <row r="45" spans="1:35">
      <c r="A45" s="1" t="s">
        <v>43</v>
      </c>
      <c r="B45" s="1">
        <f>f1_*re*phi_q1</f>
        <v>3.518004368982304E-2</v>
      </c>
      <c r="C45" s="20">
        <f>ye_1/SUM(ye_1,ye_2,ye_3)</f>
        <v>0.51295924716123387</v>
      </c>
      <c r="J45" s="2" t="s">
        <v>87</v>
      </c>
    </row>
    <row r="46" spans="1:35" ht="19" thickBot="1">
      <c r="A46" s="1" t="s">
        <v>44</v>
      </c>
      <c r="B46" s="1">
        <f>f2_*re*phi_q2</f>
        <v>1.5224768529294245E-2</v>
      </c>
      <c r="C46" s="20">
        <f>ye_2/SUM(ye_1,ye_2,ye_3)</f>
        <v>0.22199193019336766</v>
      </c>
      <c r="G46" s="32" t="s">
        <v>94</v>
      </c>
      <c r="H46" s="32"/>
      <c r="I46" s="32"/>
      <c r="J46" s="8" t="s">
        <v>75</v>
      </c>
      <c r="K46">
        <f t="shared" ref="K46:AI46" si="29">lz*qa1_</f>
        <v>4.4204038126716157E-19</v>
      </c>
      <c r="L46">
        <f t="shared" si="29"/>
        <v>7.0045950124548249E-14</v>
      </c>
      <c r="M46">
        <f t="shared" si="29"/>
        <v>9.2870310187192799E-10</v>
      </c>
      <c r="N46">
        <f t="shared" si="29"/>
        <v>2.3610177198139173E-6</v>
      </c>
      <c r="O46">
        <f t="shared" si="29"/>
        <v>1.0838521049548362E-3</v>
      </c>
      <c r="P46">
        <f t="shared" si="29"/>
        <v>3.3178385200129716E-2</v>
      </c>
      <c r="Q46">
        <f t="shared" si="29"/>
        <v>0.40566309675245094</v>
      </c>
      <c r="R46">
        <f t="shared" si="29"/>
        <v>2.578855556104624</v>
      </c>
      <c r="S46">
        <f t="shared" si="29"/>
        <v>4.3154712505125206</v>
      </c>
      <c r="T46">
        <f t="shared" si="29"/>
        <v>4.0324007881890873</v>
      </c>
      <c r="U46">
        <f t="shared" si="29"/>
        <v>3.4548953527645203</v>
      </c>
      <c r="V46">
        <f t="shared" si="29"/>
        <v>2.9021103620064466</v>
      </c>
      <c r="W46">
        <f t="shared" si="29"/>
        <v>2.410624720309849</v>
      </c>
      <c r="X46">
        <f t="shared" si="29"/>
        <v>1.9857650719381577</v>
      </c>
      <c r="Y46">
        <f t="shared" si="29"/>
        <v>1.6253054041583075</v>
      </c>
      <c r="Z46">
        <f t="shared" si="29"/>
        <v>1.3236762134508782</v>
      </c>
      <c r="AA46">
        <f t="shared" si="29"/>
        <v>1.0738912877000817</v>
      </c>
      <c r="AB46">
        <f t="shared" si="29"/>
        <v>0.86867368147379087</v>
      </c>
      <c r="AC46">
        <f t="shared" si="29"/>
        <v>0.70109095423180701</v>
      </c>
      <c r="AD46">
        <f t="shared" si="29"/>
        <v>0.56487505857298603</v>
      </c>
      <c r="AE46">
        <f t="shared" si="29"/>
        <v>0.4545471253853019</v>
      </c>
      <c r="AF46">
        <f t="shared" si="29"/>
        <v>0.3654280740180168</v>
      </c>
      <c r="AG46">
        <f t="shared" si="29"/>
        <v>0.29358752493977142</v>
      </c>
      <c r="AH46">
        <f t="shared" si="29"/>
        <v>0.23576373938041223</v>
      </c>
      <c r="AI46">
        <f t="shared" si="29"/>
        <v>0.94943577037070837</v>
      </c>
    </row>
    <row r="47" spans="1:35" ht="19" thickTop="1">
      <c r="A47" s="1" t="s">
        <v>45</v>
      </c>
      <c r="B47" s="1">
        <f>f3_*re*phi_q3</f>
        <v>1.8177719209086445E-2</v>
      </c>
      <c r="C47" s="20">
        <f>ye_3/SUM(ye_1,ye_2,ye_3)</f>
        <v>0.26504882264539859</v>
      </c>
      <c r="F47" t="s">
        <v>84</v>
      </c>
      <c r="G47" s="31">
        <f>G39/G53</f>
        <v>1</v>
      </c>
      <c r="H47" s="31">
        <f>H53/H39</f>
        <v>0.4488871527320703</v>
      </c>
      <c r="I47" s="31">
        <f>I53/I39</f>
        <v>0.85178166858929261</v>
      </c>
      <c r="J47" s="8" t="s">
        <v>76</v>
      </c>
      <c r="K47">
        <f t="shared" ref="K47:AI47" si="30">lz*qa2_</f>
        <v>6.2553012606167289E-27</v>
      </c>
      <c r="L47">
        <f t="shared" si="30"/>
        <v>1.1714442797286292E-17</v>
      </c>
      <c r="M47">
        <f t="shared" si="30"/>
        <v>8.7009467211322222E-9</v>
      </c>
      <c r="N47">
        <f t="shared" si="30"/>
        <v>2.174745287116695</v>
      </c>
      <c r="O47">
        <f t="shared" si="30"/>
        <v>3.5759102655302639</v>
      </c>
      <c r="P47">
        <f t="shared" si="30"/>
        <v>2.6124874866078569</v>
      </c>
      <c r="Q47">
        <f t="shared" si="30"/>
        <v>1.7855197210567362</v>
      </c>
      <c r="R47">
        <f t="shared" si="30"/>
        <v>1.1492456634090789</v>
      </c>
      <c r="S47">
        <f t="shared" si="30"/>
        <v>0.69710208587340272</v>
      </c>
      <c r="T47">
        <f t="shared" si="30"/>
        <v>0.4061960700570304</v>
      </c>
      <c r="U47">
        <f t="shared" si="30"/>
        <v>0.23185300977071777</v>
      </c>
      <c r="V47">
        <f t="shared" si="30"/>
        <v>0.13048511389881612</v>
      </c>
      <c r="W47">
        <f t="shared" si="30"/>
        <v>7.2652457455159192E-2</v>
      </c>
      <c r="X47">
        <f t="shared" si="30"/>
        <v>4.0118027403148432E-2</v>
      </c>
      <c r="Y47">
        <f t="shared" si="30"/>
        <v>2.2010977839845739E-2</v>
      </c>
      <c r="Z47">
        <f t="shared" si="30"/>
        <v>1.2016528422135842E-2</v>
      </c>
      <c r="AA47">
        <f t="shared" si="30"/>
        <v>6.5350744928598546E-3</v>
      </c>
      <c r="AB47">
        <f t="shared" si="30"/>
        <v>3.5435608323457143E-3</v>
      </c>
      <c r="AC47">
        <f t="shared" si="30"/>
        <v>1.9171258288149754E-3</v>
      </c>
      <c r="AD47">
        <f t="shared" si="30"/>
        <v>1.035432260347041E-3</v>
      </c>
      <c r="AE47">
        <f t="shared" si="30"/>
        <v>5.5852324659390372E-4</v>
      </c>
      <c r="AF47">
        <f t="shared" si="30"/>
        <v>3.009936255175323E-4</v>
      </c>
      <c r="AG47">
        <f t="shared" si="30"/>
        <v>1.6210112963680831E-4</v>
      </c>
      <c r="AH47">
        <f t="shared" si="30"/>
        <v>8.7260663676867587E-5</v>
      </c>
      <c r="AI47">
        <f t="shared" si="30"/>
        <v>2.3555924267432615E-4</v>
      </c>
    </row>
    <row r="48" spans="1:35">
      <c r="A48" s="1" t="s">
        <v>72</v>
      </c>
      <c r="B48" s="1">
        <f>SUM(B45:B47)</f>
        <v>6.8582531428203725E-2</v>
      </c>
      <c r="F48" t="s">
        <v>85</v>
      </c>
      <c r="G48" s="31">
        <f>G40/G54</f>
        <v>2.2277313884206338</v>
      </c>
      <c r="H48" s="31">
        <f t="shared" ref="H48" si="31">H40/H54</f>
        <v>0.99999999999999989</v>
      </c>
      <c r="I48" s="31">
        <f>I54/I40</f>
        <v>0.44108688733489015</v>
      </c>
      <c r="J48" s="8" t="s">
        <v>77</v>
      </c>
      <c r="K48">
        <f t="shared" ref="K48:AI48" si="32">lz*qa3_</f>
        <v>1.5914916571257928E-3</v>
      </c>
      <c r="L48">
        <f t="shared" si="32"/>
        <v>9.8805807010865915E-2</v>
      </c>
      <c r="M48">
        <f t="shared" si="32"/>
        <v>1.4148433564559233</v>
      </c>
      <c r="N48">
        <f t="shared" si="32"/>
        <v>3.8235105569902967</v>
      </c>
      <c r="O48">
        <f t="shared" si="32"/>
        <v>4.7946677597332981</v>
      </c>
      <c r="P48">
        <f t="shared" si="32"/>
        <v>5.0015601611337663</v>
      </c>
      <c r="Q48">
        <f t="shared" si="32"/>
        <v>4.8533254714682679</v>
      </c>
      <c r="R48">
        <f t="shared" si="32"/>
        <v>4.4331130424021801</v>
      </c>
      <c r="S48">
        <f t="shared" si="32"/>
        <v>3.8158989774419507</v>
      </c>
      <c r="T48">
        <f t="shared" si="32"/>
        <v>3.1552908227441434</v>
      </c>
      <c r="U48">
        <f t="shared" si="32"/>
        <v>2.5557566158174363</v>
      </c>
      <c r="V48">
        <f t="shared" si="32"/>
        <v>2.0411306027402065</v>
      </c>
      <c r="W48">
        <f t="shared" si="32"/>
        <v>1.6127357110442369</v>
      </c>
      <c r="X48">
        <f t="shared" si="32"/>
        <v>1.2637336018508354</v>
      </c>
      <c r="Y48">
        <f t="shared" si="32"/>
        <v>0.98391678129680782</v>
      </c>
      <c r="Z48">
        <f t="shared" si="32"/>
        <v>0.76225646751216614</v>
      </c>
      <c r="AA48">
        <f t="shared" si="32"/>
        <v>0.58826865868245615</v>
      </c>
      <c r="AB48">
        <f t="shared" si="32"/>
        <v>0.45265584216696014</v>
      </c>
      <c r="AC48">
        <f t="shared" si="32"/>
        <v>0.34752169694604751</v>
      </c>
      <c r="AD48">
        <f t="shared" si="32"/>
        <v>0.26635206395766453</v>
      </c>
      <c r="AE48">
        <f t="shared" si="32"/>
        <v>0.20388191168056127</v>
      </c>
      <c r="AF48">
        <f t="shared" si="32"/>
        <v>0.15591855816150196</v>
      </c>
      <c r="AG48">
        <f t="shared" si="32"/>
        <v>0.11915976056670718</v>
      </c>
      <c r="AH48">
        <f t="shared" si="32"/>
        <v>9.1025937595357279E-2</v>
      </c>
      <c r="AI48">
        <f t="shared" si="32"/>
        <v>0.34869832987267485</v>
      </c>
    </row>
    <row r="49" spans="1:19">
      <c r="A49" s="1"/>
      <c r="B49" s="1"/>
      <c r="F49" t="s">
        <v>86</v>
      </c>
      <c r="G49" s="31">
        <f>G41/G55</f>
        <v>1.1740097690247131</v>
      </c>
      <c r="H49" s="31">
        <f t="shared" ref="H49:I49" si="33">H41/H55</f>
        <v>2.2671270189919781</v>
      </c>
      <c r="I49" s="31">
        <f t="shared" si="33"/>
        <v>1</v>
      </c>
    </row>
    <row r="50" spans="1:19">
      <c r="A50" s="23" t="s">
        <v>88</v>
      </c>
      <c r="B50" s="35">
        <f>f1_*phi_q1</f>
        <v>1.949961854852355</v>
      </c>
      <c r="C50">
        <f>AVERAGE(B50:B52)/B50</f>
        <v>0.64982420178217326</v>
      </c>
    </row>
    <row r="51" spans="1:19">
      <c r="A51" s="23" t="s">
        <v>89</v>
      </c>
      <c r="B51" s="35">
        <f>f2_*phi_q2</f>
        <v>0.84387950574571036</v>
      </c>
      <c r="C51">
        <f>AVERAGE(B50:B52)/B51</f>
        <v>1.5015560837863833</v>
      </c>
      <c r="G51" t="s">
        <v>70</v>
      </c>
    </row>
    <row r="52" spans="1:19">
      <c r="A52" s="23" t="s">
        <v>90</v>
      </c>
      <c r="B52" s="35">
        <f>f3_*phi_q3</f>
        <v>1.007555856907288</v>
      </c>
      <c r="C52">
        <f>AVERAGE(B50:B52)/B52</f>
        <v>1.2576299340114054</v>
      </c>
      <c r="G52" s="1">
        <f>G39^0.5</f>
        <v>1.0297225703964481</v>
      </c>
      <c r="H52" s="1">
        <f>H40^0.5</f>
        <v>0.4852413756545641</v>
      </c>
      <c r="I52" s="11">
        <f>I41^0.5</f>
        <v>0.8604058785268599</v>
      </c>
    </row>
    <row r="53" spans="1:19">
      <c r="A53" s="29" t="s">
        <v>91</v>
      </c>
      <c r="B53" s="34">
        <f>phi_t1*f1_</f>
        <v>6.8621077852255519E-2</v>
      </c>
      <c r="C53">
        <f>AVERAGE(B53:B55)/B53</f>
        <v>1.0000096090488186</v>
      </c>
      <c r="G53">
        <f t="shared" ref="G53:I55" si="34">G$52*$J53</f>
        <v>1.060328571983868</v>
      </c>
      <c r="H53">
        <f t="shared" si="34"/>
        <v>0.49966399660172622</v>
      </c>
      <c r="I53">
        <f t="shared" si="34"/>
        <v>0.88597935282089224</v>
      </c>
      <c r="J53">
        <f t="array" ref="J53:J55">TRANSPOSE(G52:I52)</f>
        <v>1.0297225703964481</v>
      </c>
    </row>
    <row r="54" spans="1:19">
      <c r="A54" s="29" t="s">
        <v>92</v>
      </c>
      <c r="B54" s="34">
        <f>phi_t2*f2_</f>
        <v>6.86209849903959E-2</v>
      </c>
      <c r="C54">
        <f>AVERAGE(B53:B55)/B54</f>
        <v>1.0000109623192788</v>
      </c>
      <c r="G54">
        <f t="shared" si="34"/>
        <v>0.49966399660172622</v>
      </c>
      <c r="H54">
        <f t="shared" si="34"/>
        <v>0.2354591926471338</v>
      </c>
      <c r="I54">
        <f t="shared" si="34"/>
        <v>0.41750453211764726</v>
      </c>
      <c r="J54">
        <v>0.4852413756545641</v>
      </c>
    </row>
    <row r="55" spans="1:19">
      <c r="A55" s="29" t="s">
        <v>93</v>
      </c>
      <c r="B55" s="34">
        <f>phi_t3*f3_</f>
        <v>6.8623148863976358E-2</v>
      </c>
      <c r="C55">
        <f>AVERAGE(B53:B55)/B55</f>
        <v>0.99997942926757022</v>
      </c>
      <c r="G55">
        <f t="shared" si="34"/>
        <v>0.88597935282089224</v>
      </c>
      <c r="H55">
        <f t="shared" si="34"/>
        <v>0.41750453211764726</v>
      </c>
      <c r="I55">
        <f t="shared" si="34"/>
        <v>0.74029827580357754</v>
      </c>
      <c r="J55">
        <v>0.8604058785268599</v>
      </c>
      <c r="S55" s="33"/>
    </row>
  </sheetData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Concept'!K18:AI18</xm:f>
              <xm:sqref>J18</xm:sqref>
            </x14:sparkline>
            <x14:sparkline>
              <xm:f>'Proof of Concept'!K19:AI19</xm:f>
              <xm:sqref>J19</xm:sqref>
            </x14:sparkline>
            <x14:sparkline>
              <xm:f>'Proof of Concept'!K20:AI20</xm:f>
              <xm:sqref>J20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'Proof of Concept'!K46:AI46</xm:f>
              <xm:sqref>J46</xm:sqref>
            </x14:sparkline>
            <x14:sparkline>
              <xm:f>'Proof of Concept'!K47:AI47</xm:f>
              <xm:sqref>J47</xm:sqref>
            </x14:sparkline>
            <x14:sparkline>
              <xm:f>'Proof of Concept'!K48:AI48</xm:f>
              <xm:sqref>J48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"/>
  <sheetViews>
    <sheetView workbookViewId="0">
      <selection activeCell="E13" sqref="E13"/>
    </sheetView>
  </sheetViews>
  <sheetFormatPr baseColWidth="10" defaultRowHeight="18" x14ac:dyDescent="0"/>
  <sheetData>
    <row r="1" spans="1:34">
      <c r="A1" t="s">
        <v>111</v>
      </c>
      <c r="B1" t="e">
        <f>SUM(B5:B10)</f>
        <v>#VALUE!</v>
      </c>
      <c r="D1" t="s">
        <v>116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</row>
    <row r="2" spans="1:34">
      <c r="D2" t="s">
        <v>146</v>
      </c>
      <c r="E2" s="1" t="e">
        <f>SAA!linf*(1-EXP(-SAA!B3*(Age+SAA!B4)))</f>
        <v>#VALUE!</v>
      </c>
      <c r="F2" s="1" t="e">
        <f>SAA!linf*(1-EXP(-k*(Age+to)))</f>
        <v>#VALUE!</v>
      </c>
      <c r="G2" s="1" t="e">
        <f>SAA!linf*(1-EXP(-k*(Age+to)))</f>
        <v>#VALUE!</v>
      </c>
      <c r="H2" s="1" t="e">
        <f>SAA!linf*(1-EXP(-k*(Age+to)))</f>
        <v>#VALUE!</v>
      </c>
      <c r="I2" s="1" t="e">
        <f>SAA!linf*(1-EXP(-k*(Age+to)))</f>
        <v>#VALUE!</v>
      </c>
      <c r="J2" s="1" t="e">
        <f>SAA!linf*(1-EXP(-k*(Age+to)))</f>
        <v>#VALUE!</v>
      </c>
      <c r="K2" s="1" t="e">
        <f>SAA!linf*(1-EXP(-k*(Age+to)))</f>
        <v>#VALUE!</v>
      </c>
      <c r="L2" s="1" t="e">
        <f>SAA!linf*(1-EXP(-k*(Age+to)))</f>
        <v>#VALUE!</v>
      </c>
      <c r="M2" s="1" t="e">
        <f>SAA!linf*(1-EXP(-k*(Age+to)))</f>
        <v>#VALUE!</v>
      </c>
      <c r="N2" s="1" t="e">
        <f>SAA!linf*(1-EXP(-k*(Age+to)))</f>
        <v>#VALUE!</v>
      </c>
      <c r="O2" s="1" t="e">
        <f>SAA!linf*(1-EXP(-k*(Age+to)))</f>
        <v>#VALUE!</v>
      </c>
      <c r="P2" s="1" t="e">
        <f>SAA!linf*(1-EXP(-k*(Age+to)))</f>
        <v>#VALUE!</v>
      </c>
      <c r="Q2" s="1" t="e">
        <f>SAA!linf*(1-EXP(-k*(Age+to)))</f>
        <v>#VALUE!</v>
      </c>
      <c r="R2" s="1" t="e">
        <f>SAA!linf*(1-EXP(-k*(Age+to)))</f>
        <v>#VALUE!</v>
      </c>
      <c r="S2" s="1" t="e">
        <f>SAA!linf*(1-EXP(-k*(Age+to)))</f>
        <v>#VALUE!</v>
      </c>
      <c r="T2" s="1" t="e">
        <f>SAA!linf*(1-EXP(-k*(Age+to)))</f>
        <v>#VALUE!</v>
      </c>
      <c r="U2" s="1" t="e">
        <f>SAA!linf*(1-EXP(-k*(Age+to)))</f>
        <v>#VALUE!</v>
      </c>
      <c r="V2" s="1" t="e">
        <f>SAA!linf*(1-EXP(-k*(Age+to)))</f>
        <v>#VALUE!</v>
      </c>
      <c r="W2" s="1" t="e">
        <f>SAA!linf*(1-EXP(-k*(Age+to)))</f>
        <v>#VALUE!</v>
      </c>
      <c r="X2" s="1" t="e">
        <f>SAA!linf*(1-EXP(-k*(Age+to)))</f>
        <v>#VALUE!</v>
      </c>
      <c r="Y2" s="1" t="e">
        <f>SAA!linf*(1-EXP(-k*(Age+to)))</f>
        <v>#VALUE!</v>
      </c>
      <c r="Z2" s="1" t="e">
        <f>SAA!linf*(1-EXP(-k*(Age+to)))</f>
        <v>#VALUE!</v>
      </c>
      <c r="AA2" s="1" t="e">
        <f>SAA!linf*(1-EXP(-k*(Age+to)))</f>
        <v>#VALUE!</v>
      </c>
      <c r="AB2" s="1" t="e">
        <f>SAA!linf*(1-EXP(-k*(Age+to)))</f>
        <v>#VALUE!</v>
      </c>
      <c r="AC2" s="1" t="e">
        <f>SAA!linf*(1-EXP(-k*(Age+to)))</f>
        <v>#VALUE!</v>
      </c>
      <c r="AD2" s="1" t="e">
        <f>SAA!linf*(1-EXP(-k*(Age+to)))</f>
        <v>#VALUE!</v>
      </c>
      <c r="AE2" s="1" t="e">
        <f>SAA!linf*(1-EXP(-k*(Age+to)))</f>
        <v>#VALUE!</v>
      </c>
      <c r="AF2" s="1" t="e">
        <f>SAA!linf*(1-EXP(-k*(Age+to)))</f>
        <v>#VALUE!</v>
      </c>
      <c r="AG2" s="1" t="e">
        <f>SAA!linf*(1-EXP(-k*(Age+to)))</f>
        <v>#VALUE!</v>
      </c>
      <c r="AH2" s="1" t="e">
        <f>SAA!linf*(1-EXP(-k*(Age+to)))</f>
        <v>#VALUE!</v>
      </c>
    </row>
    <row r="5" spans="1:34">
      <c r="B5">
        <f>SUMXMY2(E5:AH5,E13:AH13)</f>
        <v>4.8774117707925365E-3</v>
      </c>
      <c r="D5" t="s">
        <v>106</v>
      </c>
      <c r="E5" s="41">
        <v>4.1028500000000002E-7</v>
      </c>
      <c r="F5" s="41">
        <v>2.7047600000000001E-6</v>
      </c>
      <c r="G5" s="41">
        <v>1.5832999999999999E-5</v>
      </c>
      <c r="H5" s="41">
        <v>8.1434500000000001E-5</v>
      </c>
      <c r="I5">
        <v>3.67432E-4</v>
      </c>
      <c r="J5">
        <v>1.4539500000000001E-3</v>
      </c>
      <c r="K5">
        <v>5.0454899999999997E-3</v>
      </c>
      <c r="L5">
        <v>1.5354400000000001E-2</v>
      </c>
      <c r="M5">
        <v>4.0977E-2</v>
      </c>
      <c r="N5">
        <v>9.59005E-2</v>
      </c>
      <c r="O5">
        <v>0.196824</v>
      </c>
      <c r="P5">
        <v>0.35424899999999998</v>
      </c>
      <c r="Q5">
        <v>0.55913199999999996</v>
      </c>
      <c r="R5">
        <v>0.77392000000000005</v>
      </c>
      <c r="S5">
        <v>0.93940599999999996</v>
      </c>
      <c r="T5">
        <v>0.99998500000000001</v>
      </c>
      <c r="U5">
        <v>0.99999700000000002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B6">
        <f>SUMXMY2(E6:AH6,E14:AH14)</f>
        <v>5.9622015562780621E-2</v>
      </c>
      <c r="D6" t="s">
        <v>107</v>
      </c>
      <c r="E6" s="41">
        <v>9.9999999999999995E-7</v>
      </c>
      <c r="F6">
        <v>8.2440600000000003E-2</v>
      </c>
      <c r="G6">
        <v>0.62406499999999998</v>
      </c>
      <c r="H6">
        <v>0.99904499999999996</v>
      </c>
      <c r="I6">
        <v>0.99992899999999996</v>
      </c>
      <c r="J6">
        <v>0.97229699999999997</v>
      </c>
      <c r="K6">
        <v>0.87010799999999999</v>
      </c>
      <c r="L6">
        <v>0.73338099999999995</v>
      </c>
      <c r="M6">
        <v>0.60741199999999995</v>
      </c>
      <c r="N6">
        <v>0.51769500000000002</v>
      </c>
      <c r="O6">
        <v>0.46621699999999999</v>
      </c>
      <c r="P6">
        <v>0.44195099999999998</v>
      </c>
      <c r="Q6">
        <v>0.432452</v>
      </c>
      <c r="R6">
        <v>0.42934299999999997</v>
      </c>
      <c r="S6">
        <v>0.42848900000000001</v>
      </c>
      <c r="T6">
        <v>0.42829099999999998</v>
      </c>
      <c r="U6">
        <v>0.42825299999999999</v>
      </c>
      <c r="V6">
        <v>0.42824600000000002</v>
      </c>
      <c r="W6">
        <v>0.42824499999999999</v>
      </c>
      <c r="X6">
        <v>0.42824499999999999</v>
      </c>
      <c r="Y6">
        <v>0.42824499999999999</v>
      </c>
      <c r="Z6">
        <v>0.42824499999999999</v>
      </c>
      <c r="AA6">
        <v>0.42824499999999999</v>
      </c>
      <c r="AB6">
        <v>0.42824499999999999</v>
      </c>
      <c r="AC6">
        <v>0.42824499999999999</v>
      </c>
      <c r="AD6">
        <v>0.42824499999999999</v>
      </c>
      <c r="AE6">
        <v>0.42824499999999999</v>
      </c>
      <c r="AF6">
        <v>0.42824499999999999</v>
      </c>
      <c r="AG6">
        <v>0.42824499999999999</v>
      </c>
      <c r="AH6">
        <v>0.42824499999999999</v>
      </c>
    </row>
    <row r="7" spans="1:34">
      <c r="B7">
        <f>SUMXMY2(E7:AH7,E15:AH15)</f>
        <v>2.0030559627712656E-2</v>
      </c>
      <c r="D7" t="s">
        <v>108</v>
      </c>
      <c r="E7" s="41">
        <v>9.9999999999999995E-7</v>
      </c>
      <c r="F7">
        <v>3.4747100000000002E-4</v>
      </c>
      <c r="G7">
        <v>3.3551800000000001E-3</v>
      </c>
      <c r="H7">
        <v>2.2178699999999999E-2</v>
      </c>
      <c r="I7">
        <v>0.100359</v>
      </c>
      <c r="J7">
        <v>0.31086599999999998</v>
      </c>
      <c r="K7">
        <v>0.65915699999999999</v>
      </c>
      <c r="L7">
        <v>0.956812</v>
      </c>
      <c r="M7">
        <v>0.99993900000000002</v>
      </c>
      <c r="N7">
        <v>0.99763400000000002</v>
      </c>
      <c r="O7">
        <v>0.877745</v>
      </c>
      <c r="P7">
        <v>0.70250800000000002</v>
      </c>
      <c r="Q7">
        <v>0.60139100000000001</v>
      </c>
      <c r="R7">
        <v>0.57030000000000003</v>
      </c>
      <c r="S7">
        <v>0.56481499999999996</v>
      </c>
      <c r="T7">
        <v>0.56424300000000005</v>
      </c>
      <c r="U7">
        <v>0.56420700000000001</v>
      </c>
      <c r="V7">
        <v>0.56420599999999999</v>
      </c>
      <c r="W7">
        <v>0.56420599999999999</v>
      </c>
      <c r="X7">
        <v>0.56420599999999999</v>
      </c>
      <c r="Y7">
        <v>0.56420599999999999</v>
      </c>
      <c r="Z7">
        <v>0.56420599999999999</v>
      </c>
      <c r="AA7">
        <v>0.56420599999999999</v>
      </c>
      <c r="AB7">
        <v>0.56420599999999999</v>
      </c>
      <c r="AC7">
        <v>0.56420599999999999</v>
      </c>
      <c r="AD7">
        <v>0.56420599999999999</v>
      </c>
      <c r="AE7">
        <v>0.56420599999999999</v>
      </c>
      <c r="AF7">
        <v>0.56420599999999999</v>
      </c>
      <c r="AG7">
        <v>0.56420599999999999</v>
      </c>
      <c r="AH7">
        <v>0.56420599999999999</v>
      </c>
    </row>
    <row r="8" spans="1:34">
      <c r="B8" t="e">
        <f>SUMXMY2(E5:AH5,E16:AH16)</f>
        <v>#VALUE!</v>
      </c>
      <c r="E8" s="41"/>
    </row>
    <row r="9" spans="1:34">
      <c r="B9" t="e">
        <f>SUMXMY2(E6:AH6,E17:AH17)</f>
        <v>#VALUE!</v>
      </c>
      <c r="E9" s="4"/>
    </row>
    <row r="10" spans="1:34">
      <c r="B10" t="e">
        <f>SUMXMY2(E7:AH7,E18:AH18)</f>
        <v>#VALUE!</v>
      </c>
    </row>
    <row r="12" spans="1:34">
      <c r="A12" t="s">
        <v>9</v>
      </c>
      <c r="B12" t="s">
        <v>10</v>
      </c>
      <c r="C12" t="s">
        <v>12</v>
      </c>
    </row>
    <row r="13" spans="1:34">
      <c r="A13">
        <v>12.625404070365327</v>
      </c>
      <c r="B13">
        <v>1.061352307234148</v>
      </c>
      <c r="C13">
        <v>1.0095591642666409E-5</v>
      </c>
      <c r="D13" t="s">
        <v>117</v>
      </c>
      <c r="E13" s="4">
        <f>((EXP(g*(ah-Age)/gh)/(1+EXP((ah-Age)/gh))) *(1/(1-g))*((1-g)/g)^g)</f>
        <v>1.7502460147072378E-5</v>
      </c>
      <c r="F13" s="4">
        <f t="shared" ref="E13:AH13" si="0">((EXP(g*(ah-Age)/gh)/(1+EXP((ah-Age)/gh))) *(1/(1-g))*((1-g)/g)^g)</f>
        <v>4.4902737202262307E-5</v>
      </c>
      <c r="G13" s="4">
        <f t="shared" si="0"/>
        <v>1.1519348269757065E-4</v>
      </c>
      <c r="H13" s="4">
        <f t="shared" si="0"/>
        <v>2.9548485404592718E-4</v>
      </c>
      <c r="I13" s="4">
        <f t="shared" si="0"/>
        <v>7.5773966004327243E-4</v>
      </c>
      <c r="J13" s="4">
        <f t="shared" si="0"/>
        <v>1.9417388932823198E-3</v>
      </c>
      <c r="K13" s="4">
        <f t="shared" si="0"/>
        <v>4.9665915350332462E-3</v>
      </c>
      <c r="L13" s="4">
        <f t="shared" si="0"/>
        <v>1.264389182496488E-2</v>
      </c>
      <c r="M13" s="4">
        <f t="shared" si="0"/>
        <v>3.1809350428012848E-2</v>
      </c>
      <c r="N13" s="4">
        <f t="shared" si="0"/>
        <v>7.7738615037063016E-2</v>
      </c>
      <c r="O13" s="4">
        <f t="shared" si="0"/>
        <v>0.1778073642559149</v>
      </c>
      <c r="P13" s="4">
        <f t="shared" si="0"/>
        <v>0.35685364201210734</v>
      </c>
      <c r="Q13" s="4">
        <f t="shared" si="0"/>
        <v>0.58740290223317881</v>
      </c>
      <c r="R13" s="4">
        <f t="shared" si="0"/>
        <v>0.78510412978957989</v>
      </c>
      <c r="S13" s="4">
        <f t="shared" si="0"/>
        <v>0.90364572756009798</v>
      </c>
      <c r="T13" s="4">
        <f t="shared" si="0"/>
        <v>0.9601468195903865</v>
      </c>
      <c r="U13" s="4">
        <f t="shared" si="0"/>
        <v>0.98412543859081891</v>
      </c>
      <c r="V13" s="4">
        <f t="shared" si="0"/>
        <v>0.99379356165705124</v>
      </c>
      <c r="W13" s="4">
        <f t="shared" si="0"/>
        <v>0.99760783010399812</v>
      </c>
      <c r="X13" s="4">
        <f t="shared" si="0"/>
        <v>0.99909668637752946</v>
      </c>
      <c r="Y13" s="4">
        <f t="shared" si="0"/>
        <v>0.99967240980385075</v>
      </c>
      <c r="Z13" s="4">
        <f t="shared" si="0"/>
        <v>0.9998911893395418</v>
      </c>
      <c r="AA13" s="4">
        <f t="shared" si="0"/>
        <v>0.99997068614848739</v>
      </c>
      <c r="AB13" s="4">
        <f t="shared" si="0"/>
        <v>0.99999587111952148</v>
      </c>
      <c r="AC13" s="4">
        <f t="shared" si="0"/>
        <v>0.99999988349217228</v>
      </c>
      <c r="AD13" s="4">
        <f t="shared" si="0"/>
        <v>0.99999564296674393</v>
      </c>
      <c r="AE13" s="4">
        <f t="shared" si="0"/>
        <v>0.99998818569735404</v>
      </c>
      <c r="AF13" s="4">
        <f t="shared" si="0"/>
        <v>0.99997947468671866</v>
      </c>
      <c r="AG13" s="4">
        <f t="shared" si="0"/>
        <v>0.99997027506120306</v>
      </c>
      <c r="AH13" s="4">
        <f t="shared" si="0"/>
        <v>0.99996088504418457</v>
      </c>
    </row>
    <row r="14" spans="1:34">
      <c r="A14">
        <v>2.9399479121449108</v>
      </c>
      <c r="B14">
        <v>0.36842659880385265</v>
      </c>
      <c r="C14">
        <v>3.17002572083089E-2</v>
      </c>
      <c r="D14" t="s">
        <v>118</v>
      </c>
      <c r="E14" s="4">
        <f t="shared" ref="E14:S15" si="1">((EXP(g*(ah-Age)/gh)/(1+EXP((ah-Age)/gh))) *(1/(1-g))*((1-g)/g)^g)</f>
        <v>6.9910394254973649E-3</v>
      </c>
      <c r="F14" s="4">
        <f t="shared" si="1"/>
        <v>9.0277887017258945E-2</v>
      </c>
      <c r="G14" s="4">
        <f t="shared" si="1"/>
        <v>0.61907440304812356</v>
      </c>
      <c r="H14" s="4">
        <f t="shared" si="1"/>
        <v>0.99464611593347885</v>
      </c>
      <c r="I14" s="4">
        <f t="shared" si="1"/>
        <v>0.96043359061255085</v>
      </c>
      <c r="J14" s="4">
        <f t="shared" si="1"/>
        <v>0.88431917789608305</v>
      </c>
      <c r="K14" s="4">
        <f t="shared" si="1"/>
        <v>0.81159909542739872</v>
      </c>
      <c r="L14" s="4">
        <f t="shared" si="1"/>
        <v>0.74469856067387896</v>
      </c>
      <c r="M14" s="4">
        <f t="shared" si="1"/>
        <v>0.68330291836627621</v>
      </c>
      <c r="N14" s="4">
        <f t="shared" si="1"/>
        <v>0.62696836189473293</v>
      </c>
      <c r="O14" s="4">
        <f t="shared" si="1"/>
        <v>0.57527824281284268</v>
      </c>
      <c r="P14" s="4">
        <f t="shared" si="1"/>
        <v>0.5278496897033268</v>
      </c>
      <c r="Q14" s="4">
        <f t="shared" si="1"/>
        <v>0.48433136195263321</v>
      </c>
      <c r="R14" s="4">
        <f t="shared" si="1"/>
        <v>0.44440088294540747</v>
      </c>
      <c r="S14" s="4">
        <f t="shared" si="1"/>
        <v>0.40776245413100815</v>
      </c>
      <c r="T14" s="4">
        <f t="shared" ref="T14:V14" si="2">S14</f>
        <v>0.40776245413100815</v>
      </c>
      <c r="U14" s="4">
        <f t="shared" si="2"/>
        <v>0.40776245413100815</v>
      </c>
      <c r="V14" s="4">
        <f t="shared" si="2"/>
        <v>0.40776245413100815</v>
      </c>
      <c r="W14" s="4">
        <f>V14</f>
        <v>0.40776245413100815</v>
      </c>
      <c r="X14" s="4">
        <f t="shared" ref="X14:AH14" si="3">W14</f>
        <v>0.40776245413100815</v>
      </c>
      <c r="Y14" s="4">
        <f t="shared" si="3"/>
        <v>0.40776245413100815</v>
      </c>
      <c r="Z14" s="4">
        <f t="shared" si="3"/>
        <v>0.40776245413100815</v>
      </c>
      <c r="AA14" s="4">
        <f t="shared" si="3"/>
        <v>0.40776245413100815</v>
      </c>
      <c r="AB14" s="4">
        <f t="shared" si="3"/>
        <v>0.40776245413100815</v>
      </c>
      <c r="AC14" s="4">
        <f t="shared" si="3"/>
        <v>0.40776245413100815</v>
      </c>
      <c r="AD14" s="4">
        <f t="shared" si="3"/>
        <v>0.40776245413100815</v>
      </c>
      <c r="AE14" s="4">
        <f t="shared" si="3"/>
        <v>0.40776245413100815</v>
      </c>
      <c r="AF14" s="4">
        <f t="shared" si="3"/>
        <v>0.40776245413100815</v>
      </c>
      <c r="AG14" s="4">
        <f t="shared" si="3"/>
        <v>0.40776245413100815</v>
      </c>
      <c r="AH14" s="4">
        <f t="shared" si="3"/>
        <v>0.40776245413100815</v>
      </c>
    </row>
    <row r="15" spans="1:34">
      <c r="A15">
        <v>6.9694296221708507</v>
      </c>
      <c r="B15">
        <v>0.72276009053415746</v>
      </c>
      <c r="C15">
        <v>7.7280760462566878E-2</v>
      </c>
      <c r="D15" t="s">
        <v>119</v>
      </c>
      <c r="E15" s="4">
        <f t="shared" si="1"/>
        <v>6.4316040942353255E-4</v>
      </c>
      <c r="F15" s="4">
        <f t="shared" si="1"/>
        <v>2.303721989549657E-3</v>
      </c>
      <c r="G15" s="4">
        <f t="shared" si="1"/>
        <v>8.2326479259225132E-3</v>
      </c>
      <c r="H15" s="4">
        <f t="shared" si="1"/>
        <v>2.9153635007805621E-2</v>
      </c>
      <c r="I15" s="4">
        <f t="shared" si="1"/>
        <v>9.9687897014976531E-2</v>
      </c>
      <c r="J15" s="4">
        <f t="shared" si="1"/>
        <v>0.30183840952132257</v>
      </c>
      <c r="K15" s="4">
        <f t="shared" si="1"/>
        <v>0.66803556127433961</v>
      </c>
      <c r="L15" s="4">
        <f t="shared" si="1"/>
        <v>0.9479377872849003</v>
      </c>
      <c r="M15" s="4">
        <f t="shared" si="1"/>
        <v>0.99647322493922652</v>
      </c>
      <c r="N15" s="4">
        <f t="shared" si="1"/>
        <v>0.93523990711776916</v>
      </c>
      <c r="O15" s="4">
        <f t="shared" si="1"/>
        <v>0.84987367053701224</v>
      </c>
      <c r="P15" s="4">
        <f t="shared" si="1"/>
        <v>0.76585504051863851</v>
      </c>
      <c r="Q15" s="4">
        <f t="shared" si="1"/>
        <v>0.68868157600797641</v>
      </c>
      <c r="R15" s="4">
        <f t="shared" si="1"/>
        <v>0.61895509309408836</v>
      </c>
      <c r="S15" s="4">
        <f t="shared" si="1"/>
        <v>0.5562138832138297</v>
      </c>
      <c r="T15" s="4">
        <f>S15</f>
        <v>0.5562138832138297</v>
      </c>
      <c r="U15" s="4">
        <f t="shared" ref="U15:AH15" si="4">T15</f>
        <v>0.5562138832138297</v>
      </c>
      <c r="V15" s="4">
        <f t="shared" si="4"/>
        <v>0.5562138832138297</v>
      </c>
      <c r="W15" s="4">
        <f t="shared" si="4"/>
        <v>0.5562138832138297</v>
      </c>
      <c r="X15" s="4">
        <f t="shared" si="4"/>
        <v>0.5562138832138297</v>
      </c>
      <c r="Y15" s="4">
        <f t="shared" si="4"/>
        <v>0.5562138832138297</v>
      </c>
      <c r="Z15" s="4">
        <f t="shared" si="4"/>
        <v>0.5562138832138297</v>
      </c>
      <c r="AA15" s="4">
        <f t="shared" si="4"/>
        <v>0.5562138832138297</v>
      </c>
      <c r="AB15" s="4">
        <f t="shared" si="4"/>
        <v>0.5562138832138297</v>
      </c>
      <c r="AC15" s="4">
        <f t="shared" si="4"/>
        <v>0.5562138832138297</v>
      </c>
      <c r="AD15" s="4">
        <f t="shared" si="4"/>
        <v>0.5562138832138297</v>
      </c>
      <c r="AE15" s="4">
        <f t="shared" si="4"/>
        <v>0.5562138832138297</v>
      </c>
      <c r="AF15" s="4">
        <f t="shared" si="4"/>
        <v>0.5562138832138297</v>
      </c>
      <c r="AG15" s="4">
        <f t="shared" si="4"/>
        <v>0.5562138832138297</v>
      </c>
      <c r="AH15" s="4">
        <f t="shared" si="4"/>
        <v>0.5562138832138297</v>
      </c>
    </row>
    <row r="16" spans="1:34">
      <c r="A16">
        <v>94.699885740215251</v>
      </c>
      <c r="B16">
        <v>4.5077682914713426</v>
      </c>
      <c r="C16">
        <v>1.0000000000000001E-5</v>
      </c>
      <c r="D16" t="s">
        <v>106</v>
      </c>
      <c r="E16" s="4" t="e">
        <f t="shared" ref="E16:AH16" si="5">((EXP(g*(ah-Len)/gh)/(1+EXP((ah-Len)/gh))) *(1/(1-g))*((1-g)/g)^g)</f>
        <v>#VALUE!</v>
      </c>
      <c r="F16" s="4" t="e">
        <f t="shared" si="5"/>
        <v>#VALUE!</v>
      </c>
      <c r="G16" s="4" t="e">
        <f t="shared" si="5"/>
        <v>#VALUE!</v>
      </c>
      <c r="H16" s="4" t="e">
        <f t="shared" si="5"/>
        <v>#VALUE!</v>
      </c>
      <c r="I16" s="4" t="e">
        <f t="shared" si="5"/>
        <v>#VALUE!</v>
      </c>
      <c r="J16" s="4" t="e">
        <f t="shared" si="5"/>
        <v>#VALUE!</v>
      </c>
      <c r="K16" s="4" t="e">
        <f t="shared" si="5"/>
        <v>#VALUE!</v>
      </c>
      <c r="L16" s="4" t="e">
        <f t="shared" si="5"/>
        <v>#VALUE!</v>
      </c>
      <c r="M16" s="4" t="e">
        <f t="shared" si="5"/>
        <v>#VALUE!</v>
      </c>
      <c r="N16" s="4" t="e">
        <f t="shared" si="5"/>
        <v>#VALUE!</v>
      </c>
      <c r="O16" s="4" t="e">
        <f t="shared" si="5"/>
        <v>#VALUE!</v>
      </c>
      <c r="P16" s="4" t="e">
        <f t="shared" si="5"/>
        <v>#VALUE!</v>
      </c>
      <c r="Q16" s="4" t="e">
        <f t="shared" si="5"/>
        <v>#VALUE!</v>
      </c>
      <c r="R16" s="4" t="e">
        <f t="shared" si="5"/>
        <v>#VALUE!</v>
      </c>
      <c r="S16" s="4" t="e">
        <f t="shared" si="5"/>
        <v>#VALUE!</v>
      </c>
      <c r="T16" s="4" t="e">
        <f t="shared" si="5"/>
        <v>#VALUE!</v>
      </c>
      <c r="U16" s="4" t="e">
        <f t="shared" si="5"/>
        <v>#VALUE!</v>
      </c>
      <c r="V16" s="4" t="e">
        <f t="shared" si="5"/>
        <v>#VALUE!</v>
      </c>
      <c r="W16" s="4" t="e">
        <f t="shared" si="5"/>
        <v>#VALUE!</v>
      </c>
      <c r="X16" s="4" t="e">
        <f t="shared" si="5"/>
        <v>#VALUE!</v>
      </c>
      <c r="Y16" s="4" t="e">
        <f t="shared" si="5"/>
        <v>#VALUE!</v>
      </c>
      <c r="Z16" s="4" t="e">
        <f t="shared" si="5"/>
        <v>#VALUE!</v>
      </c>
      <c r="AA16" s="4" t="e">
        <f t="shared" si="5"/>
        <v>#VALUE!</v>
      </c>
      <c r="AB16" s="4" t="e">
        <f t="shared" si="5"/>
        <v>#VALUE!</v>
      </c>
      <c r="AC16" s="4" t="e">
        <f t="shared" si="5"/>
        <v>#VALUE!</v>
      </c>
      <c r="AD16" s="4" t="e">
        <f t="shared" si="5"/>
        <v>#VALUE!</v>
      </c>
      <c r="AE16" s="4" t="e">
        <f t="shared" si="5"/>
        <v>#VALUE!</v>
      </c>
      <c r="AF16" s="4" t="e">
        <f t="shared" si="5"/>
        <v>#VALUE!</v>
      </c>
      <c r="AG16" s="4" t="e">
        <f t="shared" si="5"/>
        <v>#VALUE!</v>
      </c>
      <c r="AH16" s="4" t="e">
        <f t="shared" si="5"/>
        <v>#VALUE!</v>
      </c>
    </row>
    <row r="17" spans="1:34">
      <c r="A17">
        <v>33.735434506917542</v>
      </c>
      <c r="B17">
        <v>4.3974617085642738</v>
      </c>
      <c r="C17">
        <v>7.038021030001558E-2</v>
      </c>
      <c r="D17" t="s">
        <v>107</v>
      </c>
      <c r="E17" s="4" t="e">
        <f t="shared" ref="E17:S18" si="6">((EXP(g*(ah-Len)/gh)/(1+EXP((ah-Len)/gh))) *(1/(1-g))*((1-g)/g)^g)</f>
        <v>#VALUE!</v>
      </c>
      <c r="F17" s="4" t="e">
        <f t="shared" si="6"/>
        <v>#VALUE!</v>
      </c>
      <c r="G17" s="4" t="e">
        <f t="shared" si="6"/>
        <v>#VALUE!</v>
      </c>
      <c r="H17" s="4" t="e">
        <f t="shared" si="6"/>
        <v>#VALUE!</v>
      </c>
      <c r="I17" s="4" t="e">
        <f t="shared" si="6"/>
        <v>#VALUE!</v>
      </c>
      <c r="J17" s="4" t="e">
        <f t="shared" si="6"/>
        <v>#VALUE!</v>
      </c>
      <c r="K17" s="4" t="e">
        <f t="shared" si="6"/>
        <v>#VALUE!</v>
      </c>
      <c r="L17" s="4" t="e">
        <f t="shared" si="6"/>
        <v>#VALUE!</v>
      </c>
      <c r="M17" s="4" t="e">
        <f t="shared" si="6"/>
        <v>#VALUE!</v>
      </c>
      <c r="N17" s="4" t="e">
        <f t="shared" si="6"/>
        <v>#VALUE!</v>
      </c>
      <c r="O17" s="4" t="e">
        <f t="shared" si="6"/>
        <v>#VALUE!</v>
      </c>
      <c r="P17" s="4" t="e">
        <f t="shared" si="6"/>
        <v>#VALUE!</v>
      </c>
      <c r="Q17" s="4" t="e">
        <f t="shared" si="6"/>
        <v>#VALUE!</v>
      </c>
      <c r="R17" s="4" t="e">
        <f t="shared" si="6"/>
        <v>#VALUE!</v>
      </c>
      <c r="S17" s="4" t="e">
        <f t="shared" si="6"/>
        <v>#VALUE!</v>
      </c>
      <c r="T17" s="4" t="e">
        <f>S17</f>
        <v>#VALUE!</v>
      </c>
      <c r="U17" s="4" t="e">
        <f t="shared" ref="U17:AH17" si="7">T17</f>
        <v>#VALUE!</v>
      </c>
      <c r="V17" s="4" t="e">
        <f t="shared" si="7"/>
        <v>#VALUE!</v>
      </c>
      <c r="W17" s="4" t="e">
        <f t="shared" si="7"/>
        <v>#VALUE!</v>
      </c>
      <c r="X17" s="4" t="e">
        <f t="shared" si="7"/>
        <v>#VALUE!</v>
      </c>
      <c r="Y17" s="4" t="e">
        <f t="shared" si="7"/>
        <v>#VALUE!</v>
      </c>
      <c r="Z17" s="4" t="e">
        <f t="shared" si="7"/>
        <v>#VALUE!</v>
      </c>
      <c r="AA17" s="4" t="e">
        <f t="shared" si="7"/>
        <v>#VALUE!</v>
      </c>
      <c r="AB17" s="4" t="e">
        <f t="shared" si="7"/>
        <v>#VALUE!</v>
      </c>
      <c r="AC17" s="4" t="e">
        <f t="shared" si="7"/>
        <v>#VALUE!</v>
      </c>
      <c r="AD17" s="4" t="e">
        <f t="shared" si="7"/>
        <v>#VALUE!</v>
      </c>
      <c r="AE17" s="4" t="e">
        <f t="shared" si="7"/>
        <v>#VALUE!</v>
      </c>
      <c r="AF17" s="4" t="e">
        <f t="shared" si="7"/>
        <v>#VALUE!</v>
      </c>
      <c r="AG17" s="4" t="e">
        <f t="shared" si="7"/>
        <v>#VALUE!</v>
      </c>
      <c r="AH17" s="4" t="e">
        <f t="shared" si="7"/>
        <v>#VALUE!</v>
      </c>
    </row>
    <row r="18" spans="1:34">
      <c r="A18">
        <v>65.803673678598742</v>
      </c>
      <c r="B18">
        <v>5.2468211942823491</v>
      </c>
      <c r="C18">
        <v>0.13273647763887594</v>
      </c>
      <c r="D18" t="s">
        <v>108</v>
      </c>
      <c r="E18" s="4" t="e">
        <f t="shared" si="6"/>
        <v>#VALUE!</v>
      </c>
      <c r="F18" s="4" t="e">
        <f t="shared" si="6"/>
        <v>#VALUE!</v>
      </c>
      <c r="G18" s="4" t="e">
        <f t="shared" si="6"/>
        <v>#VALUE!</v>
      </c>
      <c r="H18" s="4" t="e">
        <f t="shared" si="6"/>
        <v>#VALUE!</v>
      </c>
      <c r="I18" s="4" t="e">
        <f t="shared" si="6"/>
        <v>#VALUE!</v>
      </c>
      <c r="J18" s="4" t="e">
        <f t="shared" si="6"/>
        <v>#VALUE!</v>
      </c>
      <c r="K18" s="4" t="e">
        <f t="shared" si="6"/>
        <v>#VALUE!</v>
      </c>
      <c r="L18" s="4" t="e">
        <f t="shared" si="6"/>
        <v>#VALUE!</v>
      </c>
      <c r="M18" s="4" t="e">
        <f t="shared" si="6"/>
        <v>#VALUE!</v>
      </c>
      <c r="N18" s="4" t="e">
        <f t="shared" si="6"/>
        <v>#VALUE!</v>
      </c>
      <c r="O18" s="4" t="e">
        <f t="shared" si="6"/>
        <v>#VALUE!</v>
      </c>
      <c r="P18" s="4" t="e">
        <f t="shared" si="6"/>
        <v>#VALUE!</v>
      </c>
      <c r="Q18" s="4" t="e">
        <f t="shared" si="6"/>
        <v>#VALUE!</v>
      </c>
      <c r="R18" s="4" t="e">
        <f t="shared" si="6"/>
        <v>#VALUE!</v>
      </c>
      <c r="S18" s="4" t="e">
        <f t="shared" si="6"/>
        <v>#VALUE!</v>
      </c>
      <c r="T18" s="4" t="e">
        <f>S18</f>
        <v>#VALUE!</v>
      </c>
      <c r="U18" s="4" t="e">
        <f t="shared" ref="U18:AH18" si="8">T18</f>
        <v>#VALUE!</v>
      </c>
      <c r="V18" s="4" t="e">
        <f t="shared" si="8"/>
        <v>#VALUE!</v>
      </c>
      <c r="W18" s="4" t="e">
        <f t="shared" si="8"/>
        <v>#VALUE!</v>
      </c>
      <c r="X18" s="4" t="e">
        <f t="shared" si="8"/>
        <v>#VALUE!</v>
      </c>
      <c r="Y18" s="4" t="e">
        <f t="shared" si="8"/>
        <v>#VALUE!</v>
      </c>
      <c r="Z18" s="4" t="e">
        <f t="shared" si="8"/>
        <v>#VALUE!</v>
      </c>
      <c r="AA18" s="4" t="e">
        <f t="shared" si="8"/>
        <v>#VALUE!</v>
      </c>
      <c r="AB18" s="4" t="e">
        <f t="shared" si="8"/>
        <v>#VALUE!</v>
      </c>
      <c r="AC18" s="4" t="e">
        <f t="shared" si="8"/>
        <v>#VALUE!</v>
      </c>
      <c r="AD18" s="4" t="e">
        <f t="shared" si="8"/>
        <v>#VALUE!</v>
      </c>
      <c r="AE18" s="4" t="e">
        <f t="shared" si="8"/>
        <v>#VALUE!</v>
      </c>
      <c r="AF18" s="4" t="e">
        <f t="shared" si="8"/>
        <v>#VALUE!</v>
      </c>
      <c r="AG18" s="4" t="e">
        <f t="shared" si="8"/>
        <v>#VALUE!</v>
      </c>
      <c r="AH18" s="4" t="e">
        <f t="shared" si="8"/>
        <v>#VALUE!</v>
      </c>
    </row>
    <row r="55" spans="30:31">
      <c r="AD55" t="s">
        <v>144</v>
      </c>
      <c r="AE55" t="s">
        <v>145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O3" sqref="O3"/>
    </sheetView>
  </sheetViews>
  <sheetFormatPr baseColWidth="10" defaultRowHeight="18" x14ac:dyDescent="0"/>
  <cols>
    <col min="2" max="3" width="12.83203125" bestFit="1" customWidth="1"/>
    <col min="4" max="5" width="12.83203125" customWidth="1"/>
    <col min="13" max="15" width="12.83203125" bestFit="1" customWidth="1"/>
  </cols>
  <sheetData>
    <row r="1" spans="1:20">
      <c r="A1" s="122" t="s">
        <v>123</v>
      </c>
      <c r="B1" s="123">
        <v>79.168822149182773</v>
      </c>
      <c r="C1" s="123">
        <v>22.98361105407357</v>
      </c>
      <c r="D1" s="123"/>
      <c r="E1" s="123"/>
      <c r="G1" t="s">
        <v>155</v>
      </c>
      <c r="H1">
        <v>11.589243896481348</v>
      </c>
      <c r="L1" t="s">
        <v>159</v>
      </c>
      <c r="M1" s="31">
        <v>68.326420568694488</v>
      </c>
      <c r="N1" s="31">
        <v>38.408516095955889</v>
      </c>
      <c r="O1" s="31">
        <v>69.837585133519639</v>
      </c>
      <c r="S1">
        <v>7</v>
      </c>
    </row>
    <row r="2" spans="1:20">
      <c r="A2" s="122" t="s">
        <v>79</v>
      </c>
      <c r="B2" s="123">
        <f>(winf/a)^(1/b)</f>
        <v>150.8458480206651</v>
      </c>
      <c r="C2" s="123">
        <f>(winf/a)^(1/b)</f>
        <v>102.97947406727727</v>
      </c>
      <c r="D2" s="123"/>
      <c r="E2" s="123"/>
      <c r="G2" t="s">
        <v>156</v>
      </c>
      <c r="H2">
        <v>1.7732482925463899</v>
      </c>
      <c r="L2" t="s">
        <v>160</v>
      </c>
      <c r="M2" s="31">
        <v>3.3384853682502316</v>
      </c>
      <c r="N2" s="31">
        <v>4.3454951918181353</v>
      </c>
      <c r="O2" s="31">
        <v>5.132875393789968</v>
      </c>
      <c r="S2">
        <v>8.5</v>
      </c>
    </row>
    <row r="3" spans="1:20">
      <c r="A3" s="122" t="s">
        <v>124</v>
      </c>
      <c r="B3" s="123">
        <v>7.9515419810206461E-2</v>
      </c>
      <c r="C3" s="123">
        <v>9.7480652282570968E-2</v>
      </c>
      <c r="D3" s="123"/>
      <c r="E3" s="123"/>
      <c r="G3" t="s">
        <v>111</v>
      </c>
      <c r="H3">
        <f>SUMXMY2(H12:H41,I12:I41)</f>
        <v>1.1244801768290252E-4</v>
      </c>
      <c r="L3" t="s">
        <v>161</v>
      </c>
      <c r="M3" s="31">
        <v>1.0011065435408443E-4</v>
      </c>
      <c r="N3" s="31">
        <v>7.1540296784792068E-2</v>
      </c>
      <c r="O3" s="31">
        <v>0.13430722347707064</v>
      </c>
    </row>
    <row r="4" spans="1:20">
      <c r="A4" s="122" t="s">
        <v>125</v>
      </c>
      <c r="B4" s="123">
        <v>0.59695167544184935</v>
      </c>
      <c r="C4" s="123">
        <v>1.2429889527598235</v>
      </c>
      <c r="D4" s="123"/>
      <c r="E4" s="123"/>
      <c r="L4" t="s">
        <v>166</v>
      </c>
      <c r="M4">
        <f>SUMXMY2(M12:O41,J12:L41)</f>
        <v>5.8949966412543194E-2</v>
      </c>
    </row>
    <row r="7" spans="1:20">
      <c r="A7" s="122" t="s">
        <v>151</v>
      </c>
      <c r="B7" s="123">
        <v>3.24</v>
      </c>
      <c r="C7" s="123">
        <v>3.24</v>
      </c>
      <c r="D7" s="123"/>
      <c r="E7" s="123"/>
    </row>
    <row r="8" spans="1:20">
      <c r="A8" s="122" t="s">
        <v>152</v>
      </c>
      <c r="B8" s="124">
        <v>6.9199999999999998E-6</v>
      </c>
      <c r="C8" s="124">
        <v>6.9199999999999998E-6</v>
      </c>
      <c r="D8" s="124"/>
      <c r="E8" s="124"/>
    </row>
    <row r="10" spans="1:20">
      <c r="A10" t="s">
        <v>111</v>
      </c>
      <c r="B10">
        <f>SUMXMY2(B12:C41,F12:G41)</f>
        <v>161.31985158810977</v>
      </c>
      <c r="D10" s="125" t="s">
        <v>162</v>
      </c>
      <c r="E10" s="125"/>
      <c r="H10" s="126" t="s">
        <v>157</v>
      </c>
      <c r="I10" s="126"/>
      <c r="J10" s="126" t="s">
        <v>158</v>
      </c>
      <c r="K10" s="126"/>
      <c r="L10" s="126"/>
    </row>
    <row r="11" spans="1:20">
      <c r="A11" t="s">
        <v>116</v>
      </c>
      <c r="B11" t="s">
        <v>150</v>
      </c>
      <c r="C11" t="s">
        <v>147</v>
      </c>
      <c r="D11" t="s">
        <v>150</v>
      </c>
      <c r="E11" t="s">
        <v>147</v>
      </c>
      <c r="F11" t="s">
        <v>148</v>
      </c>
      <c r="G11" t="s">
        <v>149</v>
      </c>
      <c r="H11" t="s">
        <v>154</v>
      </c>
      <c r="I11" t="s">
        <v>153</v>
      </c>
      <c r="J11" t="s">
        <v>106</v>
      </c>
      <c r="K11" t="s">
        <v>107</v>
      </c>
      <c r="L11" t="s">
        <v>108</v>
      </c>
      <c r="M11" t="s">
        <v>106</v>
      </c>
      <c r="N11" t="s">
        <v>107</v>
      </c>
      <c r="O11" t="s">
        <v>108</v>
      </c>
      <c r="Q11" t="s">
        <v>163</v>
      </c>
      <c r="R11" t="s">
        <v>164</v>
      </c>
      <c r="S11" t="s">
        <v>165</v>
      </c>
    </row>
    <row r="12" spans="1:20">
      <c r="A12">
        <v>1</v>
      </c>
      <c r="B12">
        <f>winf*(1-EXP(-k*(Age+to)))^b</f>
        <v>8.0591250295953501E-2</v>
      </c>
      <c r="C12">
        <f>winf*(1-EXP(-k*(Age+to)))^b</f>
        <v>0.11780516003848085</v>
      </c>
      <c r="D12">
        <f>B$2*(1-EXP(-B$3*(Age+B$4)))</f>
        <v>17.988476469494113</v>
      </c>
      <c r="E12">
        <f>C$2*(1-EXP(-C$3*(Age+C$4)))</f>
        <v>20.224703637587304</v>
      </c>
      <c r="F12">
        <v>0.94</v>
      </c>
      <c r="G12">
        <v>0.67</v>
      </c>
      <c r="H12">
        <v>0</v>
      </c>
      <c r="I12">
        <v>0</v>
      </c>
      <c r="J12" s="41">
        <f>S12</f>
        <v>7.6733015147097256E-6</v>
      </c>
      <c r="K12" s="41">
        <v>9.9999999999999995E-7</v>
      </c>
      <c r="L12" s="41">
        <v>9.9999999999999995E-7</v>
      </c>
      <c r="M12" s="4">
        <f>(1/(1-s_3))*((1-s_3)/s_3)^(s_3)*EXP(1/s_2*s_3*(s_1-$D12))/(1+EXP(1/s_2*(s_1-$D12)))</f>
        <v>2.8364364654376901E-7</v>
      </c>
      <c r="N12" s="4">
        <f>(1/(1-s_3))*((1-s_3)/s_3)^(s_3)*EXP(1/s_2*s_3*(s_1-$D12))/(1+EXP(1/s_2*(s_1-$D12)))</f>
        <v>1.6335604703535903E-2</v>
      </c>
      <c r="O12" s="4">
        <f>(1/(1-s_3))*((1-s_3)/s_3)^(s_3)*EXP(1/s_2*s_3*(s_1-$D12))/(1+EXP(1/s_2*(s_1-$D12)))</f>
        <v>2.3634057221484672E-4</v>
      </c>
      <c r="Q12" s="41">
        <v>4.1028500000000002E-7</v>
      </c>
      <c r="R12" s="41">
        <v>9.9999999999999995E-7</v>
      </c>
      <c r="S12" s="41">
        <f>1/(1+EXP(-LN(19)*(Age-$S$1)/($S$2-$S$1)))</f>
        <v>7.6733015147097256E-6</v>
      </c>
      <c r="T12" s="41">
        <f>1-R12</f>
        <v>0.99999899999999997</v>
      </c>
    </row>
    <row r="13" spans="1:20">
      <c r="A13">
        <v>2</v>
      </c>
      <c r="B13">
        <f>winf*(1-EXP(-k*(Age+to)))^b</f>
        <v>0.34363370566266094</v>
      </c>
      <c r="C13">
        <f>winf*(1-EXP(-k*(Age+to)))^b</f>
        <v>0.33451619799743121</v>
      </c>
      <c r="D13">
        <f>B$2*(1-EXP(-B$3*(Age+B$4)))</f>
        <v>28.143591925289599</v>
      </c>
      <c r="E13">
        <f>C$2*(1-EXP(-C$3*(Age+C$4)))</f>
        <v>27.910975645547655</v>
      </c>
      <c r="F13">
        <v>1.87</v>
      </c>
      <c r="G13">
        <v>1.33</v>
      </c>
      <c r="H13">
        <v>0</v>
      </c>
      <c r="I13">
        <v>0</v>
      </c>
      <c r="J13" s="41">
        <f t="shared" ref="J13:J41" si="0">S13</f>
        <v>5.4634159833132317E-5</v>
      </c>
      <c r="K13">
        <v>8.2440600000000003E-2</v>
      </c>
      <c r="L13">
        <v>3.4747100000000002E-4</v>
      </c>
      <c r="M13" s="4">
        <f>(1/(1-s_3))*((1-s_3)/s_3)^(s_3)*EXP(1/s_2*s_3*(s_1-$D13))/(1+EXP(1/s_2*(s_1-$D13)))</f>
        <v>5.9386770559083851E-6</v>
      </c>
      <c r="N13" s="4">
        <f>(1/(1-s_3))*((1-s_3)/s_3)^(s_3)*EXP(1/s_2*s_3*(s_1-$D13))/(1+EXP(1/s_2*(s_1-$D13)))</f>
        <v>0.13190983706155679</v>
      </c>
      <c r="O13" s="4">
        <f>(1/(1-s_3))*((1-s_3)/s_3)^(s_3)*EXP(1/s_2*s_3*(s_1-$D13))/(1+EXP(1/s_2*(s_1-$D13)))</f>
        <v>1.3099502801474678E-3</v>
      </c>
      <c r="Q13" s="41">
        <v>2.7047600000000001E-6</v>
      </c>
      <c r="R13" s="41">
        <v>3.01682E-8</v>
      </c>
      <c r="S13" s="41">
        <f>1/(1+EXP(-LN(19)*(Age-$S$1)/($S$2-$S$1)))</f>
        <v>5.4634159833132317E-5</v>
      </c>
      <c r="T13" s="41">
        <f t="shared" ref="T13:T41" si="1">1-R13</f>
        <v>0.99999996983179995</v>
      </c>
    </row>
    <row r="14" spans="1:20">
      <c r="A14">
        <v>3</v>
      </c>
      <c r="B14">
        <f>winf*(1-EXP(-k*(Age+to)))^b</f>
        <v>0.87259153282617763</v>
      </c>
      <c r="C14">
        <f>winf*(1-EXP(-k*(Age+to)))^b</f>
        <v>0.68895181585083343</v>
      </c>
      <c r="D14">
        <f>B$2*(1-EXP(-B$3*(Age+B$4)))</f>
        <v>37.522488728582118</v>
      </c>
      <c r="E14">
        <f>C$2*(1-EXP(-C$3*(Age+C$4)))</f>
        <v>34.88334587994742</v>
      </c>
      <c r="F14">
        <v>2.81</v>
      </c>
      <c r="G14">
        <v>2</v>
      </c>
      <c r="H14">
        <v>0</v>
      </c>
      <c r="I14">
        <v>0</v>
      </c>
      <c r="J14" s="41">
        <f t="shared" si="0"/>
        <v>3.8888525246728363E-4</v>
      </c>
      <c r="K14">
        <v>0.62406499999999998</v>
      </c>
      <c r="L14">
        <v>3.3551800000000001E-3</v>
      </c>
      <c r="M14" s="4">
        <f>(1/(1-s_3))*((1-s_3)/s_3)^(s_3)*EXP(1/s_2*s_3*(s_1-$D14))/(1+EXP(1/s_2*(s_1-$D14)))</f>
        <v>9.8537741525171272E-5</v>
      </c>
      <c r="N14" s="4">
        <f>(1/(1-s_3))*((1-s_3)/s_3)^(s_3)*EXP(1/s_2*s_3*(s_1-$D14))/(1+EXP(1/s_2*(s_1-$D14)))</f>
        <v>0.58972979919539303</v>
      </c>
      <c r="O14" s="4">
        <f>(1/(1-s_3))*((1-s_3)/s_3)^(s_3)*EXP(1/s_2*s_3*(s_1-$D14))/(1+EXP(1/s_2*(s_1-$D14)))</f>
        <v>6.3614425246710914E-3</v>
      </c>
      <c r="Q14" s="41">
        <v>1.5832999999999999E-5</v>
      </c>
      <c r="R14" s="41">
        <v>9.9230800000000002E-7</v>
      </c>
      <c r="S14" s="41">
        <f>1/(1+EXP(-LN(19)*(Age-$S$1)/($S$2-$S$1)))</f>
        <v>3.8888525246728363E-4</v>
      </c>
      <c r="T14" s="41">
        <f t="shared" si="1"/>
        <v>0.99999900769200001</v>
      </c>
    </row>
    <row r="15" spans="1:20">
      <c r="A15">
        <v>4</v>
      </c>
      <c r="B15">
        <f>winf*(1-EXP(-k*(Age+to)))^b</f>
        <v>1.7103062171013894</v>
      </c>
      <c r="C15">
        <f>winf*(1-EXP(-k*(Age+to)))^b</f>
        <v>1.1820896822228117</v>
      </c>
      <c r="D15">
        <f>B$2*(1-EXP(-B$3*(Age+B$4)))</f>
        <v>46.184498100086614</v>
      </c>
      <c r="E15">
        <f>C$2*(1-EXP(-C$3*(Age+C$4)))</f>
        <v>41.20812161455536</v>
      </c>
      <c r="F15">
        <v>3.75</v>
      </c>
      <c r="G15">
        <v>2.66</v>
      </c>
      <c r="H15">
        <v>0</v>
      </c>
      <c r="I15">
        <v>0</v>
      </c>
      <c r="J15" s="41">
        <f t="shared" si="0"/>
        <v>2.7624309392265205E-3</v>
      </c>
      <c r="K15">
        <v>0.99904499999999996</v>
      </c>
      <c r="L15">
        <v>2.2178699999999999E-2</v>
      </c>
      <c r="M15" s="4">
        <f>(1/(1-s_3))*((1-s_3)/s_3)^(s_3)*EXP(1/s_2*s_3*(s_1-$D15))/(1+EXP(1/s_2*(s_1-$D15)))</f>
        <v>1.3175834188895359E-3</v>
      </c>
      <c r="N15" s="4">
        <f>(1/(1-s_3))*((1-s_3)/s_3)^(s_3)*EXP(1/s_2*s_3*(s_1-$D15))/(1+EXP(1/s_2*(s_1-$D15)))</f>
        <v>0.97541265754479078</v>
      </c>
      <c r="O15" s="4">
        <f>(1/(1-s_3))*((1-s_3)/s_3)^(s_3)*EXP(1/s_2*s_3*(s_1-$D15))/(1+EXP(1/s_2*(s_1-$D15)))</f>
        <v>2.7196301541123791E-2</v>
      </c>
      <c r="Q15" s="41">
        <v>8.1434500000000001E-5</v>
      </c>
      <c r="R15">
        <v>1.48636E-4</v>
      </c>
      <c r="S15" s="41">
        <f>1/(1+EXP(-LN(19)*(Age-$S$1)/($S$2-$S$1)))</f>
        <v>2.7624309392265205E-3</v>
      </c>
      <c r="T15" s="41">
        <f t="shared" si="1"/>
        <v>0.99985136399999996</v>
      </c>
    </row>
    <row r="16" spans="1:20">
      <c r="A16">
        <v>5</v>
      </c>
      <c r="B16">
        <f>winf*(1-EXP(-k*(Age+to)))^b</f>
        <v>2.8698496560174056</v>
      </c>
      <c r="C16">
        <f>winf*(1-EXP(-k*(Age+to)))^b</f>
        <v>1.8033046393626977</v>
      </c>
      <c r="D16">
        <f>B$2*(1-EXP(-B$3*(Age+B$4)))</f>
        <v>54.184416206200311</v>
      </c>
      <c r="E16">
        <f>C$2*(1-EXP(-C$3*(Age+C$4)))</f>
        <v>46.945451496397048</v>
      </c>
      <c r="F16">
        <v>4.6900000000000004</v>
      </c>
      <c r="G16">
        <v>3.33</v>
      </c>
      <c r="H16">
        <v>0</v>
      </c>
      <c r="I16">
        <v>0</v>
      </c>
      <c r="J16" s="41">
        <f t="shared" si="0"/>
        <v>1.9342497699835048E-2</v>
      </c>
      <c r="K16">
        <v>0.99992899999999996</v>
      </c>
      <c r="L16">
        <v>0.100359</v>
      </c>
      <c r="M16" s="4">
        <f>(1/(1-s_3))*((1-s_3)/s_3)^(s_3)*EXP(1/s_2*s_3*(s_1-$D16))/(1+EXP(1/s_2*(s_1-$D16)))</f>
        <v>1.4278950209474584E-2</v>
      </c>
      <c r="N16" s="4">
        <f>(1/(1-s_3))*((1-s_3)/s_3)^(s_3)*EXP(1/s_2*s_3*(s_1-$D16))/(1+EXP(1/s_2*(s_1-$D16)))</f>
        <v>0.97212068404856788</v>
      </c>
      <c r="O16" s="4">
        <f>(1/(1-s_3))*((1-s_3)/s_3)^(s_3)*EXP(1/s_2*s_3*(s_1-$D16))/(1+EXP(1/s_2*(s_1-$D16)))</f>
        <v>0.10108378886134205</v>
      </c>
      <c r="Q16">
        <v>3.67432E-4</v>
      </c>
      <c r="R16">
        <v>7.2027599999999999E-3</v>
      </c>
      <c r="S16" s="41">
        <f>1/(1+EXP(-LN(19)*(Age-$S$1)/($S$2-$S$1)))</f>
        <v>1.9342497699835048E-2</v>
      </c>
      <c r="T16" s="41">
        <f t="shared" si="1"/>
        <v>0.99279724000000003</v>
      </c>
    </row>
    <row r="17" spans="1:20">
      <c r="A17">
        <v>6</v>
      </c>
      <c r="B17">
        <f>winf*(1-EXP(-k*(Age+to)))^b</f>
        <v>4.3423747683644285</v>
      </c>
      <c r="C17">
        <f>winf*(1-EXP(-k*(Age+to)))^b</f>
        <v>2.5351712654216572</v>
      </c>
      <c r="D17">
        <f>B$2*(1-EXP(-B$3*(Age+B$4)))</f>
        <v>61.57285080141822</v>
      </c>
      <c r="E17">
        <f>C$2*(1-EXP(-C$3*(Age+C$4)))</f>
        <v>52.14989755967143</v>
      </c>
      <c r="F17">
        <v>5.62</v>
      </c>
      <c r="G17">
        <v>3.99</v>
      </c>
      <c r="H17">
        <v>0</v>
      </c>
      <c r="I17">
        <v>0</v>
      </c>
      <c r="J17" s="41">
        <f t="shared" si="0"/>
        <v>0.12314713802987556</v>
      </c>
      <c r="K17">
        <v>0.97229699999999997</v>
      </c>
      <c r="L17">
        <v>0.31086599999999998</v>
      </c>
      <c r="M17" s="4">
        <f>(1/(1-s_3))*((1-s_3)/s_3)^(s_3)*EXP(1/s_2*s_3*(s_1-$D17))/(1+EXP(1/s_2*(s_1-$D17)))</f>
        <v>0.11695802776446525</v>
      </c>
      <c r="N17" s="4">
        <f>(1/(1-s_3))*((1-s_3)/s_3)^(s_3)*EXP(1/s_2*s_3*(s_1-$D17))/(1+EXP(1/s_2*(s_1-$D17)))</f>
        <v>0.87934257175245356</v>
      </c>
      <c r="O17" s="4">
        <f>(1/(1-s_3))*((1-s_3)/s_3)^(s_3)*EXP(1/s_2*s_3*(s_1-$D17))/(1+EXP(1/s_2*(s_1-$D17)))</f>
        <v>0.30678453968614672</v>
      </c>
      <c r="Q17">
        <v>1.4539500000000001E-3</v>
      </c>
      <c r="R17">
        <v>0.10777</v>
      </c>
      <c r="S17" s="41">
        <f>1/(1+EXP(-LN(19)*(Age-$S$1)/($S$2-$S$1)))</f>
        <v>0.12314713802987556</v>
      </c>
      <c r="T17" s="41">
        <f t="shared" si="1"/>
        <v>0.89222999999999997</v>
      </c>
    </row>
    <row r="18" spans="1:20">
      <c r="A18">
        <v>7</v>
      </c>
      <c r="B18">
        <f>winf*(1-EXP(-k*(Age+to)))^b</f>
        <v>6.1040307381029963</v>
      </c>
      <c r="C18">
        <f>winf*(1-EXP(-k*(Age+to)))^b</f>
        <v>3.3570001528537921</v>
      </c>
      <c r="D18">
        <f>B$2*(1-EXP(-B$3*(Age+B$4)))</f>
        <v>68.39654137471237</v>
      </c>
      <c r="E18">
        <f>C$2*(1-EXP(-C$3*(Age+C$4)))</f>
        <v>56.870954110952994</v>
      </c>
      <c r="F18">
        <v>6.56</v>
      </c>
      <c r="G18">
        <v>4.66</v>
      </c>
      <c r="H18">
        <v>0</v>
      </c>
      <c r="I18">
        <v>0</v>
      </c>
      <c r="J18" s="41">
        <f t="shared" si="0"/>
        <v>0.5</v>
      </c>
      <c r="K18">
        <v>0.87010799999999999</v>
      </c>
      <c r="L18">
        <v>0.65915699999999999</v>
      </c>
      <c r="M18" s="4">
        <f>(1/(1-s_3))*((1-s_3)/s_3)^(s_3)*EXP(1/s_2*s_3*(s_1-$D18))/(1+EXP(1/s_2*(s_1-$D18)))</f>
        <v>0.50576634258952136</v>
      </c>
      <c r="N18" s="4">
        <f>(1/(1-s_3))*((1-s_3)/s_3)^(s_3)*EXP(1/s_2*s_3*(s_1-$D18))/(1+EXP(1/s_2*(s_1-$D18)))</f>
        <v>0.78891484171584847</v>
      </c>
      <c r="O18" s="4">
        <f>(1/(1-s_3))*((1-s_3)/s_3)^(s_3)*EXP(1/s_2*s_3*(s_1-$D18))/(1+EXP(1/s_2*(s_1-$D18)))</f>
        <v>0.66289307656121965</v>
      </c>
      <c r="Q18">
        <v>5.0454899999999997E-3</v>
      </c>
      <c r="R18">
        <v>0.49762400000000001</v>
      </c>
      <c r="S18" s="41">
        <f>1/(1+EXP(-LN(19)*(Age-$S$1)/($S$2-$S$1)))</f>
        <v>0.5</v>
      </c>
      <c r="T18" s="41">
        <f t="shared" si="1"/>
        <v>0.50237599999999993</v>
      </c>
    </row>
    <row r="19" spans="1:20">
      <c r="A19">
        <v>8</v>
      </c>
      <c r="B19">
        <f>winf*(1-EXP(-k*(Age+to)))^b</f>
        <v>8.1215608997688413</v>
      </c>
      <c r="C19">
        <f>winf*(1-EXP(-k*(Age+to)))^b</f>
        <v>4.2472868091564102</v>
      </c>
      <c r="D19">
        <f>B$2*(1-EXP(-B$3*(Age+B$4)))</f>
        <v>74.698654825131271</v>
      </c>
      <c r="E19">
        <f>C$2*(1-EXP(-C$3*(Age+C$4)))</f>
        <v>61.153518420280442</v>
      </c>
      <c r="F19">
        <v>7.32</v>
      </c>
      <c r="G19">
        <v>5.19</v>
      </c>
      <c r="H19">
        <f>1/(1+EXP(-(A19-ahat)/ghat))</f>
        <v>0.11669500804840012</v>
      </c>
      <c r="I19">
        <v>0.11700000000000001</v>
      </c>
      <c r="J19" s="41">
        <f t="shared" si="0"/>
        <v>0.87685286197012446</v>
      </c>
      <c r="K19">
        <v>0.73338099999999995</v>
      </c>
      <c r="L19">
        <v>0.956812</v>
      </c>
      <c r="M19" s="4">
        <f>(1/(1-s_3))*((1-s_3)/s_3)^(s_3)*EXP(1/s_2*s_3*(s_1-$D19))/(1+EXP(1/s_2*(s_1-$D19)))</f>
        <v>0.87159926141795308</v>
      </c>
      <c r="N19" s="4">
        <f>(1/(1-s_3))*((1-s_3)/s_3)^(s_3)*EXP(1/s_2*s_3*(s_1-$D19))/(1+EXP(1/s_2*(s_1-$D19)))</f>
        <v>0.71171413792260352</v>
      </c>
      <c r="O19" s="4">
        <f>(1/(1-s_3))*((1-s_3)/s_3)^(s_3)*EXP(1/s_2*s_3*(s_1-$D19))/(1+EXP(1/s_2*(s_1-$D19)))</f>
        <v>0.94130985460088645</v>
      </c>
      <c r="Q19">
        <v>1.5354400000000001E-2</v>
      </c>
      <c r="R19">
        <v>0.72506700000000002</v>
      </c>
      <c r="S19" s="41">
        <f>1/(1+EXP(-LN(19)*(Age-$S$1)/($S$2-$S$1)))</f>
        <v>0.87685286197012446</v>
      </c>
      <c r="T19" s="41">
        <f t="shared" si="1"/>
        <v>0.27493299999999998</v>
      </c>
    </row>
    <row r="20" spans="1:20">
      <c r="A20">
        <v>9</v>
      </c>
      <c r="B20">
        <f>winf*(1-EXP(-k*(Age+to)))^b</f>
        <v>10.356615299778031</v>
      </c>
      <c r="C20">
        <f>winf*(1-EXP(-k*(Age+to)))^b</f>
        <v>5.1853087831249134</v>
      </c>
      <c r="D20">
        <f>B$2*(1-EXP(-B$3*(Age+B$4)))</f>
        <v>80.519058537074145</v>
      </c>
      <c r="E20">
        <f>C$2*(1-EXP(-C$3*(Age+C$4)))</f>
        <v>65.038317694406203</v>
      </c>
      <c r="F20">
        <v>8.61</v>
      </c>
      <c r="G20">
        <v>5.83</v>
      </c>
      <c r="H20">
        <f>1/(1+EXP(-(A20-ahat)/ghat))</f>
        <v>0.18844133095417848</v>
      </c>
      <c r="I20">
        <v>0.189</v>
      </c>
      <c r="J20" s="41">
        <f t="shared" si="0"/>
        <v>0.98065750230016491</v>
      </c>
      <c r="K20">
        <v>0.60741199999999995</v>
      </c>
      <c r="L20">
        <v>0.99993900000000002</v>
      </c>
      <c r="M20" s="4">
        <f>(1/(1-s_3))*((1-s_3)/s_3)^(s_3)*EXP(1/s_2*s_3*(s_1-$D20))/(1+EXP(1/s_2*(s_1-$D20)))</f>
        <v>0.97536028929583096</v>
      </c>
      <c r="N20" s="4">
        <f>(1/(1-s_3))*((1-s_3)/s_3)^(s_3)*EXP(1/s_2*s_3*(s_1-$D20))/(1+EXP(1/s_2*(s_1-$D20)))</f>
        <v>0.64679455433425659</v>
      </c>
      <c r="O20" s="4">
        <f>(1/(1-s_3))*((1-s_3)/s_3)^(s_3)*EXP(1/s_2*s_3*(s_1-$D20))/(1+EXP(1/s_2*(s_1-$D20)))</f>
        <v>0.99739356180919092</v>
      </c>
      <c r="Q20">
        <v>4.0977E-2</v>
      </c>
      <c r="R20">
        <v>0.72564200000000001</v>
      </c>
      <c r="S20" s="41">
        <f>1/(1+EXP(-LN(19)*(Age-$S$1)/($S$2-$S$1)))</f>
        <v>0.98065750230016491</v>
      </c>
      <c r="T20" s="41">
        <f t="shared" si="1"/>
        <v>0.27435799999999999</v>
      </c>
    </row>
    <row r="21" spans="1:20">
      <c r="A21">
        <v>10</v>
      </c>
      <c r="B21">
        <f>winf*(1-EXP(-k*(Age+to)))^b</f>
        <v>12.768945602324004</v>
      </c>
      <c r="C21">
        <f>winf*(1-EXP(-k*(Age+to)))^b</f>
        <v>6.1520895060125795</v>
      </c>
      <c r="D21">
        <f>B$2*(1-EXP(-B$3*(Age+B$4)))</f>
        <v>85.894572582722859</v>
      </c>
      <c r="E21">
        <f>C$2*(1-EXP(-C$3*(Age+C$4)))</f>
        <v>68.562296392724463</v>
      </c>
      <c r="F21">
        <v>10.94</v>
      </c>
      <c r="G21">
        <v>6.89</v>
      </c>
      <c r="H21">
        <f>1/(1+EXP(-(A21-ahat)/ghat))</f>
        <v>0.28982520163491809</v>
      </c>
      <c r="I21">
        <v>0.28999999999999998</v>
      </c>
      <c r="J21" s="41">
        <f t="shared" si="0"/>
        <v>0.99723756906077354</v>
      </c>
      <c r="K21">
        <v>0.51769500000000002</v>
      </c>
      <c r="L21">
        <v>0.99763400000000002</v>
      </c>
      <c r="M21" s="4">
        <f>(1/(1-s_3))*((1-s_3)/s_3)^(s_3)*EXP(1/s_2*s_3*(s_1-$D21))/(1+EXP(1/s_2*(s_1-$D21)))</f>
        <v>0.99533622461559623</v>
      </c>
      <c r="N21" s="4">
        <f>(1/(1-s_3))*((1-s_3)/s_3)^(s_3)*EXP(1/s_2*s_3*(s_1-$D21))/(1+EXP(1/s_2*(s_1-$D21)))</f>
        <v>0.59204048448690971</v>
      </c>
      <c r="O21" s="4">
        <f>(1/(1-s_3))*((1-s_3)/s_3)^(s_3)*EXP(1/s_2*s_3*(s_1-$D21))/(1+EXP(1/s_2*(s_1-$D21)))</f>
        <v>0.93377755151852471</v>
      </c>
      <c r="Q21">
        <v>9.59005E-2</v>
      </c>
      <c r="R21">
        <v>0.72564499999999998</v>
      </c>
      <c r="S21" s="41">
        <f>1/(1+EXP(-LN(19)*(Age-$S$1)/($S$2-$S$1)))</f>
        <v>0.99723756906077354</v>
      </c>
      <c r="T21" s="41">
        <f t="shared" si="1"/>
        <v>0.27435500000000002</v>
      </c>
    </row>
    <row r="22" spans="1:20">
      <c r="A22">
        <v>11</v>
      </c>
      <c r="B22">
        <f>winf*(1-EXP(-k*(Age+to)))^b</f>
        <v>15.318681949781213</v>
      </c>
      <c r="C22">
        <f>winf*(1-EXP(-k*(Age+to)))^b</f>
        <v>7.1309094727395204</v>
      </c>
      <c r="D22">
        <f>B$2*(1-EXP(-B$3*(Age+B$4)))</f>
        <v>90.859202647073005</v>
      </c>
      <c r="E22">
        <f>C$2*(1-EXP(-C$3*(Age+C$4)))</f>
        <v>71.758967569254054</v>
      </c>
      <c r="F22">
        <v>14.14</v>
      </c>
      <c r="G22">
        <v>8.39</v>
      </c>
      <c r="H22">
        <f>1/(1+EXP(-(A22-ahat)/ghat))</f>
        <v>0.41768199627570923</v>
      </c>
      <c r="I22">
        <v>0.41799999999999998</v>
      </c>
      <c r="J22" s="41">
        <f t="shared" si="0"/>
        <v>0.99961111474753284</v>
      </c>
      <c r="K22">
        <v>0.46621699999999999</v>
      </c>
      <c r="L22">
        <v>0.877745</v>
      </c>
      <c r="M22" s="4">
        <f>(1/(1-s_3))*((1-s_3)/s_3)^(s_3)*EXP(1/s_2*s_3*(s_1-$D22))/(1+EXP(1/s_2*(s_1-$D22)))</f>
        <v>0.99917580738330347</v>
      </c>
      <c r="N22" s="4">
        <f>(1/(1-s_3))*((1-s_3)/s_3)^(s_3)*EXP(1/s_2*s_3*(s_1-$D22))/(1+EXP(1/s_2*(s_1-$D22)))</f>
        <v>0.54558252255377848</v>
      </c>
      <c r="O22" s="4">
        <f>(1/(1-s_3))*((1-s_3)/s_3)^(s_3)*EXP(1/s_2*s_3*(s_1-$D22))/(1+EXP(1/s_2*(s_1-$D22)))</f>
        <v>0.84191972227902467</v>
      </c>
      <c r="Q22">
        <v>0.196824</v>
      </c>
      <c r="R22">
        <v>0.72542899999999999</v>
      </c>
      <c r="S22" s="41">
        <f>1/(1+EXP(-LN(19)*(Age-$S$1)/($S$2-$S$1)))</f>
        <v>0.99961111474753284</v>
      </c>
      <c r="T22" s="41">
        <f t="shared" si="1"/>
        <v>0.27457100000000001</v>
      </c>
    </row>
    <row r="23" spans="1:20">
      <c r="A23">
        <v>12</v>
      </c>
      <c r="B23">
        <f>winf*(1-EXP(-k*(Age+to)))^b</f>
        <v>17.967882472883002</v>
      </c>
      <c r="C23">
        <f>winf*(1-EXP(-k*(Age+to)))^b</f>
        <v>8.1075056825163632</v>
      </c>
      <c r="D23">
        <f>B$2*(1-EXP(-B$3*(Age+B$4)))</f>
        <v>95.44435514905561</v>
      </c>
      <c r="E23">
        <f>C$2*(1-EXP(-C$3*(Age+C$4)))</f>
        <v>74.658731581939975</v>
      </c>
      <c r="F23">
        <v>17.64</v>
      </c>
      <c r="G23">
        <v>9.19</v>
      </c>
      <c r="H23">
        <f>1/(1+EXP(-(A23-ahat)/ghat))</f>
        <v>0.5576525626139911</v>
      </c>
      <c r="I23">
        <v>0.55700000000000005</v>
      </c>
      <c r="J23" s="41">
        <f t="shared" si="0"/>
        <v>0.9999453658401668</v>
      </c>
      <c r="K23">
        <v>0.44195099999999998</v>
      </c>
      <c r="L23">
        <v>0.70250800000000002</v>
      </c>
      <c r="M23" s="4">
        <f>(1/(1-s_3))*((1-s_3)/s_3)^(s_3)*EXP(1/s_2*s_3*(s_1-$D23))/(1+EXP(1/s_2*(s_1-$D23)))</f>
        <v>0.99991222545862457</v>
      </c>
      <c r="N23" s="4">
        <f>(1/(1-s_3))*((1-s_3)/s_3)^(s_3)*EXP(1/s_2*s_3*(s_1-$D23))/(1+EXP(1/s_2*(s_1-$D23)))</f>
        <v>0.50591668865659822</v>
      </c>
      <c r="O23" s="4">
        <f>(1/(1-s_3))*((1-s_3)/s_3)^(s_3)*EXP(1/s_2*s_3*(s_1-$D23))/(1+EXP(1/s_2*(s_1-$D23)))</f>
        <v>0.75402756644879798</v>
      </c>
      <c r="Q23">
        <v>0.35424899999999998</v>
      </c>
      <c r="R23">
        <v>0.61431199999999997</v>
      </c>
      <c r="S23" s="41">
        <f>1/(1+EXP(-LN(19)*(Age-$S$1)/($S$2-$S$1)))</f>
        <v>0.9999453658401668</v>
      </c>
      <c r="T23" s="41">
        <f t="shared" si="1"/>
        <v>0.38568800000000003</v>
      </c>
    </row>
    <row r="24" spans="1:20">
      <c r="A24">
        <v>13</v>
      </c>
      <c r="B24">
        <f>winf*(1-EXP(-k*(Age+to)))^b</f>
        <v>20.681522180929427</v>
      </c>
      <c r="C24">
        <f>winf*(1-EXP(-k*(Age+to)))^b</f>
        <v>9.0700652618957047</v>
      </c>
      <c r="D24">
        <f>B$2*(1-EXP(-B$3*(Age+B$4)))</f>
        <v>99.679035919613639</v>
      </c>
      <c r="E24">
        <f>C$2*(1-EXP(-C$3*(Age+C$4)))</f>
        <v>77.289165200200657</v>
      </c>
      <c r="F24">
        <v>19.920000000000002</v>
      </c>
      <c r="G24">
        <v>9.9</v>
      </c>
      <c r="H24">
        <f>1/(1+EXP(-(A24-ahat)/ghat))</f>
        <v>0.6890276304875329</v>
      </c>
      <c r="I24">
        <v>0.68899999999999995</v>
      </c>
      <c r="J24" s="41">
        <f t="shared" si="0"/>
        <v>0.99999232669848537</v>
      </c>
      <c r="K24">
        <v>0.432452</v>
      </c>
      <c r="L24">
        <v>0.60139100000000001</v>
      </c>
      <c r="M24" s="4">
        <f>(1/(1-s_3))*((1-s_3)/s_3)^(s_3)*EXP(1/s_2*s_3*(s_1-$D24))/(1+EXP(1/s_2*(s_1-$D24)))</f>
        <v>0.9999984360295282</v>
      </c>
      <c r="N24" s="4">
        <f>(1/(1-s_3))*((1-s_3)/s_3)^(s_3)*EXP(1/s_2*s_3*(s_1-$D24))/(1+EXP(1/s_2*(s_1-$D24)))</f>
        <v>0.4718481897149695</v>
      </c>
      <c r="O24" s="4">
        <f>(1/(1-s_3))*((1-s_3)/s_3)^(s_3)*EXP(1/s_2*s_3*(s_1-$D24))/(1+EXP(1/s_2*(s_1-$D24)))</f>
        <v>0.67751600239810272</v>
      </c>
      <c r="Q24">
        <v>0.55913199999999996</v>
      </c>
      <c r="R24">
        <v>0.29884899999999998</v>
      </c>
      <c r="S24" s="41">
        <f>1/(1+EXP(-LN(19)*(Age-$S$1)/($S$2-$S$1)))</f>
        <v>0.99999232669848537</v>
      </c>
      <c r="T24" s="41">
        <f t="shared" si="1"/>
        <v>0.70115100000000008</v>
      </c>
    </row>
    <row r="25" spans="1:20">
      <c r="A25">
        <v>14</v>
      </c>
      <c r="B25">
        <f>winf*(1-EXP(-k*(Age+to)))^b</f>
        <v>23.428060198404992</v>
      </c>
      <c r="C25">
        <f>winf*(1-EXP(-k*(Age+to)))^b</f>
        <v>10.009090622103578</v>
      </c>
      <c r="D25">
        <f>B$2*(1-EXP(-B$3*(Age+B$4)))</f>
        <v>103.59003369357639</v>
      </c>
      <c r="E25">
        <f>C$2*(1-EXP(-C$3*(Age+C$4)))</f>
        <v>79.675283860134996</v>
      </c>
      <c r="F25">
        <v>22.6</v>
      </c>
      <c r="G25">
        <v>10.06</v>
      </c>
      <c r="H25">
        <f>1/(1+EXP(-(A25-ahat)/ghat))</f>
        <v>0.79568071919478534</v>
      </c>
      <c r="I25">
        <v>0.79500000000000004</v>
      </c>
      <c r="J25" s="41">
        <f t="shared" si="0"/>
        <v>0.99999892233760723</v>
      </c>
      <c r="K25">
        <v>0.42934299999999997</v>
      </c>
      <c r="L25">
        <v>0.57030000000000003</v>
      </c>
      <c r="M25" s="4">
        <f>(1/(1-s_3))*((1-s_3)/s_3)^(s_3)*EXP(1/s_2*s_3*(s_1-$D25))/(1+EXP(1/s_2*(s_1-$D25)))</f>
        <v>0.99993874429527518</v>
      </c>
      <c r="N25" s="4">
        <f>(1/(1-s_3))*((1-s_3)/s_3)^(s_3)*EXP(1/s_2*s_3*(s_1-$D25))/(1+EXP(1/s_2*(s_1-$D25)))</f>
        <v>0.44242485182162405</v>
      </c>
      <c r="O25" s="4">
        <f>(1/(1-s_3))*((1-s_3)/s_3)^(s_3)*EXP(1/s_2*s_3*(s_1-$D25))/(1+EXP(1/s_2*(s_1-$D25)))</f>
        <v>0.61258428242154839</v>
      </c>
      <c r="Q25">
        <v>0.77392000000000005</v>
      </c>
      <c r="R25">
        <v>0.13281000000000001</v>
      </c>
      <c r="S25" s="41">
        <f>1/(1+EXP(-LN(19)*(Age-$S$1)/($S$2-$S$1)))</f>
        <v>0.99999892233760723</v>
      </c>
      <c r="T25" s="41">
        <f t="shared" si="1"/>
        <v>0.86719000000000002</v>
      </c>
    </row>
    <row r="26" spans="1:20">
      <c r="A26">
        <v>15</v>
      </c>
      <c r="B26">
        <f>winf*(1-EXP(-k*(Age+to)))^b</f>
        <v>26.179697655464778</v>
      </c>
      <c r="C26">
        <f>winf*(1-EXP(-k*(Age+to)))^b</f>
        <v>10.917191174065181</v>
      </c>
      <c r="D26">
        <f>B$2*(1-EXP(-B$3*(Age+B$4)))</f>
        <v>107.20208957610895</v>
      </c>
      <c r="E26">
        <f>C$2*(1-EXP(-C$3*(Age+C$4)))</f>
        <v>81.839779561437524</v>
      </c>
      <c r="F26">
        <v>24.53</v>
      </c>
      <c r="G26">
        <v>11.06</v>
      </c>
      <c r="H26">
        <f>1/(1+EXP(-(A26-ahat)/ghat))</f>
        <v>0.87252276488084946</v>
      </c>
      <c r="I26">
        <v>0.872</v>
      </c>
      <c r="J26" s="41">
        <f t="shared" si="0"/>
        <v>0.99999984865059099</v>
      </c>
      <c r="K26">
        <v>0.42848900000000001</v>
      </c>
      <c r="L26">
        <v>0.56481499999999996</v>
      </c>
      <c r="M26" s="4">
        <f>(1/(1-s_3))*((1-s_3)/s_3)^(s_3)*EXP(1/s_2*s_3*(s_1-$D26))/(1+EXP(1/s_2*(s_1-$D26)))</f>
        <v>0.99984753563761719</v>
      </c>
      <c r="N26" s="4">
        <f>(1/(1-s_3))*((1-s_3)/s_3)^(s_3)*EXP(1/s_2*s_3*(s_1-$D26))/(1+EXP(1/s_2*(s_1-$D26)))</f>
        <v>0.41688282204356231</v>
      </c>
      <c r="O26" s="4">
        <f>(1/(1-s_3))*((1-s_3)/s_3)^(s_3)*EXP(1/s_2*s_3*(s_1-$D26))/(1+EXP(1/s_2*(s_1-$D26)))</f>
        <v>0.55773094822713976</v>
      </c>
      <c r="Q26">
        <v>0.93940599999999996</v>
      </c>
      <c r="R26">
        <v>9.9476200000000001E-2</v>
      </c>
      <c r="S26" s="41">
        <f>1/(1+EXP(-LN(19)*(Age-$S$1)/($S$2-$S$1)))</f>
        <v>0.99999984865059099</v>
      </c>
      <c r="T26" s="41">
        <f t="shared" si="1"/>
        <v>0.90052379999999999</v>
      </c>
    </row>
    <row r="27" spans="1:20">
      <c r="A27">
        <v>16</v>
      </c>
      <c r="B27">
        <f>winf*(1-EXP(-k*(Age+to)))^b</f>
        <v>28.912414951107664</v>
      </c>
      <c r="C27">
        <f>winf*(1-EXP(-k*(Age+to)))^b</f>
        <v>11.788839683413327</v>
      </c>
      <c r="D27">
        <f>B$2*(1-EXP(-B$3*(Age+B$4)))</f>
        <v>110.53805355578629</v>
      </c>
      <c r="E27">
        <f>C$2*(1-EXP(-C$3*(Age+C$4)))</f>
        <v>83.803236668422315</v>
      </c>
      <c r="F27">
        <v>30.09</v>
      </c>
      <c r="G27">
        <v>11.53</v>
      </c>
      <c r="H27">
        <f>1/(1+EXP(-(A27-ahat)/ghat))</f>
        <v>0.92325291196511905</v>
      </c>
      <c r="I27">
        <v>0.92300000000000004</v>
      </c>
      <c r="J27" s="41">
        <f t="shared" si="0"/>
        <v>0.99999997874415447</v>
      </c>
      <c r="K27">
        <v>0.42829099999999998</v>
      </c>
      <c r="L27">
        <v>0.56424300000000005</v>
      </c>
      <c r="M27" s="4">
        <f>(1/(1-s_3))*((1-s_3)/s_3)^(s_3)*EXP(1/s_2*s_3*(s_1-$D27))/(1+EXP(1/s_2*(s_1-$D27)))</f>
        <v>0.99975305776033896</v>
      </c>
      <c r="N27" s="4">
        <f>N26</f>
        <v>0.41688282204356231</v>
      </c>
      <c r="O27" s="4">
        <f>O26</f>
        <v>0.55773094822713976</v>
      </c>
      <c r="Q27">
        <v>0.99998500000000001</v>
      </c>
      <c r="R27">
        <v>9.6593799999999994E-2</v>
      </c>
      <c r="S27" s="41">
        <f>1/(1+EXP(-LN(19)*(Age-$S$1)/($S$2-$S$1)))</f>
        <v>0.99999997874415447</v>
      </c>
      <c r="T27" s="41">
        <f t="shared" si="1"/>
        <v>0.90340620000000005</v>
      </c>
    </row>
    <row r="28" spans="1:20">
      <c r="A28">
        <v>17</v>
      </c>
      <c r="B28">
        <f>winf*(1-EXP(-k*(Age+to)))^b</f>
        <v>31.605857162379287</v>
      </c>
      <c r="C28">
        <f>winf*(1-EXP(-k*(Age+to)))^b</f>
        <v>12.6201187866659</v>
      </c>
      <c r="D28">
        <f>B$2*(1-EXP(-B$3*(Age+B$4)))</f>
        <v>113.61902905439959</v>
      </c>
      <c r="E28">
        <f>C$2*(1-EXP(-C$3*(Age+C$4)))</f>
        <v>85.584327667424603</v>
      </c>
      <c r="F28">
        <v>34.26</v>
      </c>
      <c r="G28">
        <v>12.17</v>
      </c>
      <c r="H28">
        <f>1/(1+EXP(-(A28-ahat)/ghat))</f>
        <v>0.95483967802827752</v>
      </c>
      <c r="I28">
        <v>0.95499999999999996</v>
      </c>
      <c r="J28" s="41">
        <f t="shared" si="0"/>
        <v>0.99999999701478237</v>
      </c>
      <c r="K28">
        <v>0.42825299999999999</v>
      </c>
      <c r="L28">
        <v>0.56420700000000001</v>
      </c>
      <c r="M28" s="4">
        <f>(1/(1-s_3))*((1-s_3)/s_3)^(s_3)*EXP(1/s_2*s_3*(s_1-$D28))/(1+EXP(1/s_2*(s_1-$D28)))</f>
        <v>0.99966264011439743</v>
      </c>
      <c r="N28" s="4">
        <f t="shared" ref="N28:N41" si="2">N27</f>
        <v>0.41688282204356231</v>
      </c>
      <c r="O28" s="4">
        <f t="shared" ref="O28:O41" si="3">O27</f>
        <v>0.55773094822713976</v>
      </c>
      <c r="Q28">
        <v>0.99999700000000002</v>
      </c>
      <c r="R28">
        <v>9.6482200000000004E-2</v>
      </c>
      <c r="S28" s="41">
        <f>1/(1+EXP(-LN(19)*(Age-$S$1)/($S$2-$S$1)))</f>
        <v>0.99999999701478237</v>
      </c>
      <c r="T28" s="41">
        <f t="shared" si="1"/>
        <v>0.90351780000000004</v>
      </c>
    </row>
    <row r="29" spans="1:20">
      <c r="A29">
        <v>18</v>
      </c>
      <c r="B29">
        <f>winf*(1-EXP(-k*(Age+to)))^b</f>
        <v>34.243119993698187</v>
      </c>
      <c r="C29">
        <f>winf*(1-EXP(-k*(Age+to)))^b</f>
        <v>13.408474063086208</v>
      </c>
      <c r="D29">
        <f>B$2*(1-EXP(-B$3*(Age+B$4)))</f>
        <v>116.46450642792129</v>
      </c>
      <c r="E29">
        <f>C$2*(1-EXP(-C$3*(Age+C$4)))</f>
        <v>87.199990742233766</v>
      </c>
      <c r="F29">
        <v>33.229999999999997</v>
      </c>
      <c r="G29">
        <v>17.59</v>
      </c>
      <c r="H29">
        <f>1/(1+EXP(-(A29-ahat)/ghat))</f>
        <v>0.97379527616781825</v>
      </c>
      <c r="I29">
        <v>0.97399999999999998</v>
      </c>
      <c r="J29" s="41">
        <f t="shared" si="0"/>
        <v>0.99999999958074959</v>
      </c>
      <c r="K29">
        <v>0.42824600000000002</v>
      </c>
      <c r="L29">
        <v>0.56420599999999999</v>
      </c>
      <c r="M29" s="4">
        <f>(1/(1-s_3))*((1-s_3)/s_3)^(s_3)*EXP(1/s_2*s_3*(s_1-$D29))/(1+EXP(1/s_2*(s_1-$D29)))</f>
        <v>0.99957808085935118</v>
      </c>
      <c r="N29" s="4">
        <f t="shared" si="2"/>
        <v>0.41688282204356231</v>
      </c>
      <c r="O29" s="4">
        <f t="shared" si="3"/>
        <v>0.55773094822713976</v>
      </c>
      <c r="Q29">
        <v>1</v>
      </c>
      <c r="R29">
        <v>9.6480300000000005E-2</v>
      </c>
      <c r="S29" s="41">
        <f>1/(1+EXP(-LN(19)*(Age-$S$1)/($S$2-$S$1)))</f>
        <v>0.99999999958074959</v>
      </c>
      <c r="T29" s="41">
        <f t="shared" si="1"/>
        <v>0.90351970000000004</v>
      </c>
    </row>
    <row r="30" spans="1:20">
      <c r="A30">
        <v>19</v>
      </c>
      <c r="B30">
        <f>winf*(1-EXP(-k*(Age+to)))^b</f>
        <v>36.810475489355611</v>
      </c>
      <c r="C30">
        <f>winf*(1-EXP(-k*(Age+to)))^b</f>
        <v>14.152483556211587</v>
      </c>
      <c r="D30">
        <f>B$2*(1-EXP(-B$3*(Age+B$4)))</f>
        <v>119.09248626316123</v>
      </c>
      <c r="E30">
        <f>C$2*(1-EXP(-C$3*(Age+C$4)))</f>
        <v>88.665590856300966</v>
      </c>
      <c r="F30">
        <v>42.13</v>
      </c>
      <c r="G30">
        <v>13.46</v>
      </c>
      <c r="H30">
        <f>1/(1+EXP(-(A30-ahat)/ghat))</f>
        <v>0.98492010635237082</v>
      </c>
      <c r="I30">
        <v>0.98499999999999999</v>
      </c>
      <c r="J30" s="41">
        <f t="shared" si="0"/>
        <v>0.99999999994111954</v>
      </c>
      <c r="K30">
        <v>0.42824499999999999</v>
      </c>
      <c r="L30">
        <v>0.56420599999999999</v>
      </c>
      <c r="M30" s="4">
        <f>(1/(1-s_3))*((1-s_3)/s_3)^(s_3)*EXP(1/s_2*s_3*(s_1-$D30))/(1+EXP(1/s_2*(s_1-$D30)))</f>
        <v>0.9994996101794672</v>
      </c>
      <c r="N30" s="4">
        <f t="shared" si="2"/>
        <v>0.41688282204356231</v>
      </c>
      <c r="O30" s="4">
        <f t="shared" si="3"/>
        <v>0.55773094822713976</v>
      </c>
      <c r="Q30">
        <v>1</v>
      </c>
      <c r="R30">
        <v>9.6480300000000005E-2</v>
      </c>
      <c r="S30" s="41">
        <f>1/(1+EXP(-LN(19)*(Age-$S$1)/($S$2-$S$1)))</f>
        <v>0.99999999994111954</v>
      </c>
      <c r="T30" s="41">
        <f t="shared" si="1"/>
        <v>0.90351970000000004</v>
      </c>
    </row>
    <row r="31" spans="1:20">
      <c r="A31">
        <v>20</v>
      </c>
      <c r="B31">
        <f>winf*(1-EXP(-k*(Age+to)))^b</f>
        <v>39.297066315159711</v>
      </c>
      <c r="C31">
        <f>winf*(1-EXP(-k*(Age+to)))^b</f>
        <v>14.851649107842517</v>
      </c>
      <c r="D31">
        <f>B$2*(1-EXP(-B$3*(Age+B$4)))</f>
        <v>121.5195932500919</v>
      </c>
      <c r="E31">
        <f>C$2*(1-EXP(-C$3*(Age+C$4)))</f>
        <v>89.995065873613925</v>
      </c>
      <c r="F31">
        <v>39.68</v>
      </c>
      <c r="G31">
        <v>14.66</v>
      </c>
      <c r="H31">
        <f>1/(1+EXP(-(A31-ahat)/ghat))</f>
        <v>0.99136393815032031</v>
      </c>
      <c r="I31">
        <v>1</v>
      </c>
      <c r="J31" s="41">
        <f t="shared" si="0"/>
        <v>0.99999999999173061</v>
      </c>
      <c r="K31">
        <v>0.42824499999999999</v>
      </c>
      <c r="L31">
        <v>0.56420599999999999</v>
      </c>
      <c r="M31" s="4">
        <f>(1/(1-s_3))*((1-s_3)/s_3)^(s_3)*EXP(1/s_2*s_3*(s_1-$D31))/(1+EXP(1/s_2*(s_1-$D31)))</f>
        <v>0.99942699646323441</v>
      </c>
      <c r="N31" s="4">
        <f t="shared" si="2"/>
        <v>0.41688282204356231</v>
      </c>
      <c r="O31" s="4">
        <f t="shared" si="3"/>
        <v>0.55773094822713976</v>
      </c>
      <c r="Q31">
        <v>1</v>
      </c>
      <c r="R31">
        <v>9.6480300000000005E-2</v>
      </c>
      <c r="S31" s="41">
        <f>1/(1+EXP(-LN(19)*(Age-$S$1)/($S$2-$S$1)))</f>
        <v>0.99999999999173061</v>
      </c>
      <c r="T31" s="41">
        <f t="shared" si="1"/>
        <v>0.90351970000000004</v>
      </c>
    </row>
    <row r="32" spans="1:20">
      <c r="A32">
        <v>21</v>
      </c>
      <c r="B32">
        <f>winf*(1-EXP(-k*(Age+to)))^b</f>
        <v>41.694589292671729</v>
      </c>
      <c r="C32">
        <f>winf*(1-EXP(-k*(Age+to)))^b</f>
        <v>15.506211788443029</v>
      </c>
      <c r="D32">
        <f>B$2*(1-EXP(-B$3*(Age+B$4)))</f>
        <v>123.76118135020377</v>
      </c>
      <c r="E32">
        <f>C$2*(1-EXP(-C$3*(Age+C$4)))</f>
        <v>91.201059107849034</v>
      </c>
      <c r="F32">
        <v>35.659999999999997</v>
      </c>
      <c r="G32">
        <v>14.59</v>
      </c>
      <c r="H32">
        <f>1/(1+EXP(-(A32-ahat)/ghat))</f>
        <v>0.99506802631864344</v>
      </c>
      <c r="I32">
        <v>1</v>
      </c>
      <c r="J32" s="41">
        <f t="shared" si="0"/>
        <v>0.99999999999883871</v>
      </c>
      <c r="K32">
        <v>0.42824499999999999</v>
      </c>
      <c r="L32">
        <v>0.56420599999999999</v>
      </c>
      <c r="M32" s="4">
        <f>(1/(1-s_3))*((1-s_3)/s_3)^(s_3)*EXP(1/s_2*s_3*(s_1-$D32))/(1+EXP(1/s_2*(s_1-$D32)))</f>
        <v>0.99935987786439751</v>
      </c>
      <c r="N32" s="4">
        <f t="shared" si="2"/>
        <v>0.41688282204356231</v>
      </c>
      <c r="O32" s="4">
        <f t="shared" si="3"/>
        <v>0.55773094822713976</v>
      </c>
      <c r="Q32">
        <v>1</v>
      </c>
      <c r="R32">
        <v>9.6480300000000005E-2</v>
      </c>
      <c r="S32" s="41">
        <f>1/(1+EXP(-LN(19)*(Age-$S$1)/($S$2-$S$1)))</f>
        <v>0.99999999999883871</v>
      </c>
      <c r="T32" s="41">
        <f t="shared" si="1"/>
        <v>0.90351970000000004</v>
      </c>
    </row>
    <row r="33" spans="1:20">
      <c r="A33">
        <v>22</v>
      </c>
      <c r="B33">
        <f>winf*(1-EXP(-k*(Age+to)))^b</f>
        <v>43.996982619123791</v>
      </c>
      <c r="C33">
        <f>winf*(1-EXP(-k*(Age+to)))^b</f>
        <v>16.116991683496067</v>
      </c>
      <c r="D33">
        <f>B$2*(1-EXP(-B$3*(Age+B$4)))</f>
        <v>125.83143092618859</v>
      </c>
      <c r="E33">
        <f>C$2*(1-EXP(-C$3*(Age+C$4)))</f>
        <v>92.295039560344051</v>
      </c>
      <c r="F33">
        <v>46.31</v>
      </c>
      <c r="G33">
        <v>15.71</v>
      </c>
      <c r="H33">
        <f>1/(1+EXP(-(A33-ahat)/ghat))</f>
        <v>0.99718790277559233</v>
      </c>
      <c r="I33">
        <v>1</v>
      </c>
      <c r="J33" s="41">
        <f t="shared" si="0"/>
        <v>0.9999999999998368</v>
      </c>
      <c r="K33">
        <v>0.42824499999999999</v>
      </c>
      <c r="L33">
        <v>0.56420599999999999</v>
      </c>
      <c r="M33" s="4">
        <f>(1/(1-s_3))*((1-s_3)/s_3)^(s_3)*EXP(1/s_2*s_3*(s_1-$D33))/(1+EXP(1/s_2*(s_1-$D33)))</f>
        <v>0.99929786765415352</v>
      </c>
      <c r="N33" s="4">
        <f t="shared" si="2"/>
        <v>0.41688282204356231</v>
      </c>
      <c r="O33" s="4">
        <f t="shared" si="3"/>
        <v>0.55773094822713976</v>
      </c>
      <c r="Q33">
        <v>1</v>
      </c>
      <c r="R33">
        <v>9.6480300000000005E-2</v>
      </c>
      <c r="S33" s="41">
        <f>1/(1+EXP(-LN(19)*(Age-$S$1)/($S$2-$S$1)))</f>
        <v>0.9999999999998368</v>
      </c>
      <c r="T33" s="41">
        <f t="shared" si="1"/>
        <v>0.90351970000000004</v>
      </c>
    </row>
    <row r="34" spans="1:20">
      <c r="A34">
        <v>23</v>
      </c>
      <c r="B34">
        <f>winf*(1-EXP(-k*(Age+to)))^b</f>
        <v>46.200126459138957</v>
      </c>
      <c r="C34">
        <f>winf*(1-EXP(-k*(Age+to)))^b</f>
        <v>16.685251024350396</v>
      </c>
      <c r="D34">
        <f>B$2*(1-EXP(-B$3*(Age+B$4)))</f>
        <v>127.74343844739712</v>
      </c>
      <c r="E34">
        <f>C$2*(1-EXP(-C$3*(Age+C$4)))</f>
        <v>93.287410990354857</v>
      </c>
      <c r="F34">
        <v>48.46</v>
      </c>
      <c r="G34">
        <v>16.7</v>
      </c>
      <c r="H34">
        <f>1/(1+EXP(-(A34-ahat)/ghat))</f>
        <v>0.99839807412349324</v>
      </c>
      <c r="I34">
        <v>1</v>
      </c>
      <c r="J34" s="41">
        <f t="shared" si="0"/>
        <v>0.99999999999997713</v>
      </c>
      <c r="K34">
        <v>0.42824499999999999</v>
      </c>
      <c r="L34">
        <v>0.56420599999999999</v>
      </c>
      <c r="M34" s="4">
        <f>(1/(1-s_3))*((1-s_3)/s_3)^(s_3)*EXP(1/s_2*s_3*(s_1-$D34))/(1+EXP(1/s_2*(s_1-$D34)))</f>
        <v>0.9992405888783128</v>
      </c>
      <c r="N34" s="4">
        <f t="shared" si="2"/>
        <v>0.41688282204356231</v>
      </c>
      <c r="O34" s="4">
        <f t="shared" si="3"/>
        <v>0.55773094822713976</v>
      </c>
      <c r="Q34">
        <v>1</v>
      </c>
      <c r="R34">
        <v>9.6480300000000005E-2</v>
      </c>
      <c r="S34" s="41">
        <f>1/(1+EXP(-LN(19)*(Age-$S$1)/($S$2-$S$1)))</f>
        <v>0.99999999999997713</v>
      </c>
      <c r="T34" s="41">
        <f t="shared" si="1"/>
        <v>0.90351970000000004</v>
      </c>
    </row>
    <row r="35" spans="1:20">
      <c r="A35">
        <v>24</v>
      </c>
      <c r="B35">
        <f>winf*(1-EXP(-k*(Age+to)))^b</f>
        <v>48.301563039053946</v>
      </c>
      <c r="C35">
        <f>winf*(1-EXP(-k*(Age+to)))^b</f>
        <v>17.212578910016166</v>
      </c>
      <c r="D35">
        <f>B$2*(1-EXP(-B$3*(Age+B$4)))</f>
        <v>129.50929933855022</v>
      </c>
      <c r="E35">
        <f>C$2*(1-EXP(-C$3*(Age+C$4)))</f>
        <v>94.187610854854853</v>
      </c>
      <c r="F35">
        <v>47.26</v>
      </c>
      <c r="G35">
        <v>18.239999999999998</v>
      </c>
      <c r="H35">
        <f>1/(1+EXP(-(A35-ahat)/ghat))</f>
        <v>0.99908793089153103</v>
      </c>
      <c r="I35">
        <v>1</v>
      </c>
      <c r="J35" s="41">
        <f t="shared" si="0"/>
        <v>0.99999999999999689</v>
      </c>
      <c r="K35">
        <v>0.42824499999999999</v>
      </c>
      <c r="L35">
        <v>0.56420599999999999</v>
      </c>
      <c r="M35" s="4">
        <f>(1/(1-s_3))*((1-s_3)/s_3)^(s_3)*EXP(1/s_2*s_3*(s_1-$D35))/(1+EXP(1/s_2*(s_1-$D35)))</f>
        <v>0.99918768554261295</v>
      </c>
      <c r="N35" s="4">
        <f t="shared" si="2"/>
        <v>0.41688282204356231</v>
      </c>
      <c r="O35" s="4">
        <f t="shared" si="3"/>
        <v>0.55773094822713976</v>
      </c>
      <c r="Q35">
        <v>1</v>
      </c>
      <c r="R35">
        <v>9.6480300000000005E-2</v>
      </c>
      <c r="S35" s="41">
        <f>1/(1+EXP(-LN(19)*(Age-$S$1)/($S$2-$S$1)))</f>
        <v>0.99999999999999689</v>
      </c>
      <c r="T35" s="41">
        <f t="shared" si="1"/>
        <v>0.90351970000000004</v>
      </c>
    </row>
    <row r="36" spans="1:20">
      <c r="A36">
        <v>25</v>
      </c>
      <c r="B36">
        <f>winf*(1-EXP(-k*(Age+to)))^b</f>
        <v>50.300239753226307</v>
      </c>
      <c r="C36">
        <f>winf*(1-EXP(-k*(Age+to)))^b</f>
        <v>17.700795488007191</v>
      </c>
      <c r="D36">
        <f>B$2*(1-EXP(-B$3*(Age+B$4)))</f>
        <v>131.14018449580794</v>
      </c>
      <c r="E36">
        <f>C$2*(1-EXP(-C$3*(Age+C$4)))</f>
        <v>95.004200058795334</v>
      </c>
      <c r="F36">
        <v>49.13</v>
      </c>
      <c r="G36">
        <v>18.62</v>
      </c>
      <c r="H36">
        <f>1/(1+EXP(-(A36-ahat)/ghat))</f>
        <v>0.99948086074716835</v>
      </c>
      <c r="I36">
        <v>1</v>
      </c>
      <c r="J36" s="41">
        <f t="shared" si="0"/>
        <v>0.99999999999999956</v>
      </c>
      <c r="K36">
        <v>0.42824499999999999</v>
      </c>
      <c r="L36">
        <v>0.56420599999999999</v>
      </c>
      <c r="M36" s="4">
        <f>(1/(1-s_3))*((1-s_3)/s_3)^(s_3)*EXP(1/s_2*s_3*(s_1-$D36))/(1+EXP(1/s_2*(s_1-$D36)))</f>
        <v>0.99913882560041234</v>
      </c>
      <c r="N36" s="4">
        <f t="shared" si="2"/>
        <v>0.41688282204356231</v>
      </c>
      <c r="O36" s="4">
        <f t="shared" si="3"/>
        <v>0.55773094822713976</v>
      </c>
      <c r="Q36">
        <v>1</v>
      </c>
      <c r="R36">
        <v>9.6480300000000005E-2</v>
      </c>
      <c r="S36" s="41">
        <f>1/(1+EXP(-LN(19)*(Age-$S$1)/($S$2-$S$1)))</f>
        <v>0.99999999999999956</v>
      </c>
      <c r="T36" s="41">
        <f t="shared" si="1"/>
        <v>0.90351970000000004</v>
      </c>
    </row>
    <row r="37" spans="1:20">
      <c r="A37">
        <v>26</v>
      </c>
      <c r="B37">
        <f>winf*(1-EXP(-k*(Age+to)))^b</f>
        <v>52.196276894532623</v>
      </c>
      <c r="C37">
        <f>winf*(1-EXP(-k*(Age+to)))^b</f>
        <v>18.151873327636146</v>
      </c>
      <c r="D37">
        <f>B$2*(1-EXP(-B$3*(Age+B$4)))</f>
        <v>132.64641095423903</v>
      </c>
      <c r="E37">
        <f>C$2*(1-EXP(-C$3*(Age+C$4)))</f>
        <v>95.744944369351913</v>
      </c>
      <c r="F37">
        <v>51</v>
      </c>
      <c r="G37">
        <v>19</v>
      </c>
      <c r="H37">
        <f>1/(1+EXP(-(A37-ahat)/ghat))</f>
        <v>0.99970456196151691</v>
      </c>
      <c r="I37">
        <v>1</v>
      </c>
      <c r="J37" s="41">
        <f t="shared" si="0"/>
        <v>1</v>
      </c>
      <c r="K37">
        <v>0.42824499999999999</v>
      </c>
      <c r="L37">
        <v>0.56420599999999999</v>
      </c>
      <c r="M37" s="4">
        <f>(1/(1-s_3))*((1-s_3)/s_3)^(s_3)*EXP(1/s_2*s_3*(s_1-$D37))/(1+EXP(1/s_2*(s_1-$D37)))</f>
        <v>0.999093700977435</v>
      </c>
      <c r="N37" s="4">
        <f t="shared" si="2"/>
        <v>0.41688282204356231</v>
      </c>
      <c r="O37" s="4">
        <f t="shared" si="3"/>
        <v>0.55773094822713976</v>
      </c>
      <c r="Q37">
        <v>1</v>
      </c>
      <c r="R37">
        <v>9.6480200000000002E-2</v>
      </c>
      <c r="S37" s="41">
        <f>1/(1+EXP(-LN(19)*(Age-$S$1)/($S$2-$S$1)))</f>
        <v>1</v>
      </c>
      <c r="T37" s="41">
        <f t="shared" si="1"/>
        <v>0.90351979999999998</v>
      </c>
    </row>
    <row r="38" spans="1:20">
      <c r="A38">
        <v>27</v>
      </c>
      <c r="B38">
        <f>winf*(1-EXP(-k*(Age+to)))^b</f>
        <v>53.990760279982894</v>
      </c>
      <c r="C38">
        <f>winf*(1-EXP(-k*(Age+to)))^b</f>
        <v>18.567873742055205</v>
      </c>
      <c r="D38">
        <f>B$2*(1-EXP(-B$3*(Age+B$4)))</f>
        <v>134.03750715373636</v>
      </c>
      <c r="E38">
        <f>C$2*(1-EXP(-C$3*(Age+C$4)))</f>
        <v>96.416888268406836</v>
      </c>
      <c r="F38">
        <v>52.87</v>
      </c>
      <c r="G38">
        <v>19.37</v>
      </c>
      <c r="H38">
        <f>1/(1+EXP(-(A38-ahat)/ghat))</f>
        <v>0.99983188476526252</v>
      </c>
      <c r="I38">
        <v>1</v>
      </c>
      <c r="J38" s="41">
        <f t="shared" si="0"/>
        <v>1</v>
      </c>
      <c r="K38">
        <v>0.42824499999999999</v>
      </c>
      <c r="L38">
        <v>0.56420599999999999</v>
      </c>
      <c r="M38" s="4">
        <f>(1/(1-s_3))*((1-s_3)/s_3)^(s_3)*EXP(1/s_2*s_3*(s_1-$D38))/(1+EXP(1/s_2*(s_1-$D38)))</f>
        <v>0.99905202652348235</v>
      </c>
      <c r="N38" s="4">
        <f t="shared" si="2"/>
        <v>0.41688282204356231</v>
      </c>
      <c r="O38" s="4">
        <f t="shared" si="3"/>
        <v>0.55773094822713976</v>
      </c>
      <c r="Q38">
        <v>1</v>
      </c>
      <c r="R38">
        <v>9.6480200000000002E-2</v>
      </c>
      <c r="S38" s="41">
        <f>1/(1+EXP(-LN(19)*(Age-$S$1)/($S$2-$S$1)))</f>
        <v>1</v>
      </c>
      <c r="T38" s="41">
        <f t="shared" si="1"/>
        <v>0.90351979999999998</v>
      </c>
    </row>
    <row r="39" spans="1:20">
      <c r="A39">
        <v>28</v>
      </c>
      <c r="B39">
        <f>winf*(1-EXP(-k*(Age+to)))^b</f>
        <v>55.685558123235282</v>
      </c>
      <c r="C39">
        <f>winf*(1-EXP(-k*(Age+to)))^b</f>
        <v>18.950895934958492</v>
      </c>
      <c r="D39">
        <f>B$2*(1-EXP(-B$3*(Age+B$4)))</f>
        <v>135.3222732162524</v>
      </c>
      <c r="E39">
        <f>C$2*(1-EXP(-C$3*(Age+C$4)))</f>
        <v>97.026421945604966</v>
      </c>
      <c r="F39">
        <v>54.74</v>
      </c>
      <c r="G39">
        <v>19.75</v>
      </c>
      <c r="H39">
        <f>1/(1+EXP(-(A39-ahat)/ghat))</f>
        <v>0.99990434142770734</v>
      </c>
      <c r="I39">
        <v>1</v>
      </c>
      <c r="J39" s="41">
        <f t="shared" si="0"/>
        <v>1</v>
      </c>
      <c r="K39">
        <v>0.42824499999999999</v>
      </c>
      <c r="L39">
        <v>0.56420599999999999</v>
      </c>
      <c r="M39" s="4">
        <f>(1/(1-s_3))*((1-s_3)/s_3)^(s_3)*EXP(1/s_2*s_3*(s_1-$D39))/(1+EXP(1/s_2*(s_1-$D39)))</f>
        <v>0.9990135386047555</v>
      </c>
      <c r="N39" s="4">
        <f t="shared" si="2"/>
        <v>0.41688282204356231</v>
      </c>
      <c r="O39" s="4">
        <f t="shared" si="3"/>
        <v>0.55773094822713976</v>
      </c>
      <c r="Q39">
        <v>1</v>
      </c>
      <c r="R39">
        <v>9.6480200000000002E-2</v>
      </c>
      <c r="S39" s="41">
        <f>1/(1+EXP(-LN(19)*(Age-$S$1)/($S$2-$S$1)))</f>
        <v>1</v>
      </c>
      <c r="T39" s="41">
        <f t="shared" si="1"/>
        <v>0.90351979999999998</v>
      </c>
    </row>
    <row r="40" spans="1:20">
      <c r="A40">
        <v>29</v>
      </c>
      <c r="B40">
        <f>winf*(1-EXP(-k*(Age+to)))^b</f>
        <v>57.28316090352758</v>
      </c>
      <c r="C40">
        <f>winf*(1-EXP(-k*(Age+to)))^b</f>
        <v>19.303037021960385</v>
      </c>
      <c r="D40">
        <f>B$2*(1-EXP(-B$3*(Age+B$4)))</f>
        <v>136.50883661567033</v>
      </c>
      <c r="E40">
        <f>C$2*(1-EXP(-C$3*(Age+C$4)))</f>
        <v>97.579342069087332</v>
      </c>
      <c r="F40">
        <v>56.61</v>
      </c>
      <c r="G40">
        <v>20.13</v>
      </c>
      <c r="H40">
        <f>1/(1+EXP(-(A40-ahat)/ghat))</f>
        <v>0.99994557140124207</v>
      </c>
      <c r="I40">
        <v>1</v>
      </c>
      <c r="J40" s="41">
        <f t="shared" si="0"/>
        <v>1</v>
      </c>
      <c r="K40">
        <v>0.42824499999999999</v>
      </c>
      <c r="L40">
        <v>0.56420599999999999</v>
      </c>
      <c r="M40" s="4">
        <f>(1/(1-s_3))*((1-s_3)/s_3)^(s_3)*EXP(1/s_2*s_3*(s_1-$D40))/(1+EXP(1/s_2*(s_1-$D40)))</f>
        <v>0.99897799361559858</v>
      </c>
      <c r="N40" s="4">
        <f t="shared" si="2"/>
        <v>0.41688282204356231</v>
      </c>
      <c r="O40" s="4">
        <f t="shared" si="3"/>
        <v>0.55773094822713976</v>
      </c>
      <c r="Q40">
        <v>1</v>
      </c>
      <c r="R40">
        <v>9.6480200000000002E-2</v>
      </c>
      <c r="S40" s="41">
        <f>1/(1+EXP(-LN(19)*(Age-$S$1)/($S$2-$S$1)))</f>
        <v>1</v>
      </c>
      <c r="T40" s="41">
        <f t="shared" si="1"/>
        <v>0.90351979999999998</v>
      </c>
    </row>
    <row r="41" spans="1:20">
      <c r="A41">
        <v>30</v>
      </c>
      <c r="B41">
        <f>winf*(1-EXP(-k*(Age+to)))^b</f>
        <v>58.786542613020231</v>
      </c>
      <c r="C41">
        <f>winf*(1-EXP(-k*(Age+to)))^b</f>
        <v>19.626361176490093</v>
      </c>
      <c r="D41">
        <f>B$2*(1-EXP(-B$3*(Age+B$4)))</f>
        <v>137.60470359248089</v>
      </c>
      <c r="E41">
        <f>C$2*(1-EXP(-C$3*(Age+C$4)))</f>
        <v>98.080906911832486</v>
      </c>
      <c r="F41">
        <v>58.48</v>
      </c>
      <c r="G41">
        <v>20.51</v>
      </c>
      <c r="H41">
        <f>1/(1+EXP(-(A41-ahat)/ghat))</f>
        <v>0.99996903132000892</v>
      </c>
      <c r="I41">
        <v>1</v>
      </c>
      <c r="J41" s="41">
        <f t="shared" si="0"/>
        <v>1</v>
      </c>
      <c r="K41">
        <v>0.42824499999999999</v>
      </c>
      <c r="L41">
        <v>0.56420599999999999</v>
      </c>
      <c r="M41" s="4">
        <f>(1/(1-s_3))*((1-s_3)/s_3)^(s_3)*EXP(1/s_2*s_3*(s_1-$D41))/(1+EXP(1/s_2*(s_1-$D41)))</f>
        <v>0.99894516652029119</v>
      </c>
      <c r="N41" s="4">
        <f t="shared" si="2"/>
        <v>0.41688282204356231</v>
      </c>
      <c r="O41" s="4">
        <f t="shared" si="3"/>
        <v>0.55773094822713976</v>
      </c>
      <c r="Q41">
        <v>1</v>
      </c>
      <c r="R41">
        <v>9.6480200000000002E-2</v>
      </c>
      <c r="S41" s="41">
        <f>1/(1+EXP(-LN(19)*(Age-$S$1)/($S$2-$S$1)))</f>
        <v>1</v>
      </c>
      <c r="T41" s="41">
        <f t="shared" si="1"/>
        <v>0.90351979999999998</v>
      </c>
    </row>
  </sheetData>
  <mergeCells count="3">
    <mergeCell ref="H10:I10"/>
    <mergeCell ref="J10:L10"/>
    <mergeCell ref="D10:E1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Status Quo</vt:lpstr>
      <vt:lpstr>Excluders (1)</vt:lpstr>
      <vt:lpstr>Excluders (2)</vt:lpstr>
      <vt:lpstr>No Size Limit (1)</vt:lpstr>
      <vt:lpstr>No Size Limit (2)</vt:lpstr>
      <vt:lpstr>Reduce DMR (1)</vt:lpstr>
      <vt:lpstr>Reduce DMR (2)</vt:lpstr>
      <vt:lpstr>Proof of Concept</vt:lpstr>
      <vt:lpstr>Selectivities</vt:lpstr>
      <vt:lpstr>SAA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cp:lastPrinted>2015-07-22T03:14:25Z</cp:lastPrinted>
  <dcterms:created xsi:type="dcterms:W3CDTF">2015-07-22T00:09:03Z</dcterms:created>
  <dcterms:modified xsi:type="dcterms:W3CDTF">2015-08-20T19:35:49Z</dcterms:modified>
</cp:coreProperties>
</file>