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51200" windowHeight="28260" tabRatio="500"/>
  </bookViews>
  <sheets>
    <sheet name="Sheet1" sheetId="1" r:id="rId1"/>
  </sheets>
  <definedNames>
    <definedName name="age">Sheet1!$K$3:$AI$3</definedName>
    <definedName name="ah">Sheet1!$G$18:$G$20</definedName>
    <definedName name="Bo">Sheet1!$B$18</definedName>
    <definedName name="daq21_">Sheet1!$K$38:$AI$38</definedName>
    <definedName name="dlz1_">Sheet1!$K$31:$AI$31</definedName>
    <definedName name="dlz2_">Sheet1!$K$32:$AI$32</definedName>
    <definedName name="dlz3_">Sheet1!$K$33:$AI$33</definedName>
    <definedName name="dmr">Sheet1!$F$18:$F$20</definedName>
    <definedName name="dphif" localSheetId="0">Sheet1!$G$31:$G$33</definedName>
    <definedName name="dqa1_">Sheet1!$K$35:$AI$35</definedName>
    <definedName name="dqa11_">Sheet1!$K$35:$AI$35</definedName>
    <definedName name="dqa12_">Sheet1!$K$40:$AI$40</definedName>
    <definedName name="dqa13_">Sheet1!$K$42:$AI$42</definedName>
    <definedName name="dqa2_">Sheet1!$K$36:$AI$36</definedName>
    <definedName name="dqa21_">Sheet1!$K$38:$AI$38</definedName>
    <definedName name="dqa22_">Sheet1!$K$36:$AI$36</definedName>
    <definedName name="dqa23_">Sheet1!$K$43:$AI$43</definedName>
    <definedName name="dqa3_">Sheet1!$K$37:$AI$37</definedName>
    <definedName name="dqa31_">Sheet1!$K$39:$AI$39</definedName>
    <definedName name="dqa32_">Sheet1!$K$41:$AI$41</definedName>
    <definedName name="dqa33_">Sheet1!$K$37:$AI$37</definedName>
    <definedName name="dre">Sheet1!$H$31:$H$33</definedName>
    <definedName name="f1_">Sheet1!$B$27</definedName>
    <definedName name="f2_">Sheet1!$B$28</definedName>
    <definedName name="f3_">Sheet1!$B$29</definedName>
    <definedName name="flt1_">Sheet1!$K$18:$AI$18</definedName>
    <definedName name="flt2_">Sheet1!$K$19:$AI$19</definedName>
    <definedName name="flt3_">Sheet1!$K$20:$AI$20</definedName>
    <definedName name="g">Sheet1!$I$18:$I$20</definedName>
    <definedName name="gamma">Sheet1!$I$18:$I$20</definedName>
    <definedName name="gh">Sheet1!$H$18:$H$20</definedName>
    <definedName name="len">Sheet1!$K$4:$AI$4</definedName>
    <definedName name="linf">Sheet1!$B$22</definedName>
    <definedName name="lx">Sheet1!$K$6:$AI$6</definedName>
    <definedName name="lz">Sheet1!$K$7:$AI$7</definedName>
    <definedName name="M">Sheet1!$B$20</definedName>
    <definedName name="ma">Sheet1!$K$9:$AI$9</definedName>
    <definedName name="oa">Sheet1!$K$11:$AI$11</definedName>
    <definedName name="phi_q1">Sheet1!$B$37</definedName>
    <definedName name="phi_q2">Sheet1!$B$38</definedName>
    <definedName name="phi_q3">Sheet1!$B$39</definedName>
    <definedName name="phi_t1">Sheet1!$B$34</definedName>
    <definedName name="phi_t2">Sheet1!$B$35</definedName>
    <definedName name="phi_t3">Sheet1!$B$36</definedName>
    <definedName name="phie">Sheet1!$B$32</definedName>
    <definedName name="phif">Sheet1!$B$33</definedName>
    <definedName name="qa1_">Sheet1!$K$22:$AI$22</definedName>
    <definedName name="qa2_">Sheet1!$K$23:$AI$23</definedName>
    <definedName name="qa3_">Sheet1!$K$24:$AI$24</definedName>
    <definedName name="re">Sheet1!$B$43</definedName>
    <definedName name="reck">Sheet1!$B$19</definedName>
    <definedName name="Ro">Sheet1!$B$21</definedName>
    <definedName name="sa">Sheet1!$K$10:$AI$10</definedName>
    <definedName name="slim">Sheet1!$E$18:$E$20</definedName>
    <definedName name="solver_adj" localSheetId="0" hidden="1">Sheet1!$B$27,Sheet1!$B$28,Sheet1!$B$29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Sheet1!$C$15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pr">Sheet1!$B$42</definedName>
    <definedName name="sr">Sheet1!$K$12:$AI$12</definedName>
    <definedName name="ta1_">Sheet1!$K$26:$AI$26</definedName>
    <definedName name="ta2_">Sheet1!$K$27:$AI$27</definedName>
    <definedName name="ta3_">Sheet1!$K$28:$AI$28</definedName>
    <definedName name="vonbk">Sheet1!$B$23</definedName>
    <definedName name="wa">Sheet1!$K$5:$AI$5</definedName>
    <definedName name="ye_1">Sheet1!$B$44</definedName>
    <definedName name="ye_2">Sheet1!$B$45</definedName>
    <definedName name="ye_3">Sheet1!$B$46</definedName>
    <definedName name="za">Sheet1!$K$8:$AI$8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8" i="1" l="1"/>
  <c r="AI31" i="1"/>
  <c r="L31" i="1"/>
  <c r="K35" i="1"/>
  <c r="K12" i="1"/>
  <c r="K18" i="1"/>
  <c r="K19" i="1"/>
  <c r="K8" i="1"/>
  <c r="L7" i="1"/>
  <c r="L12" i="1"/>
  <c r="L18" i="1"/>
  <c r="L19" i="1"/>
  <c r="L8" i="1"/>
  <c r="M7" i="1"/>
  <c r="M12" i="1"/>
  <c r="M18" i="1"/>
  <c r="M19" i="1"/>
  <c r="M8" i="1"/>
  <c r="N7" i="1"/>
  <c r="N12" i="1"/>
  <c r="N18" i="1"/>
  <c r="N19" i="1"/>
  <c r="N8" i="1"/>
  <c r="O7" i="1"/>
  <c r="O12" i="1"/>
  <c r="O18" i="1"/>
  <c r="O19" i="1"/>
  <c r="O8" i="1"/>
  <c r="P7" i="1"/>
  <c r="P12" i="1"/>
  <c r="P18" i="1"/>
  <c r="P19" i="1"/>
  <c r="P8" i="1"/>
  <c r="Q7" i="1"/>
  <c r="Q12" i="1"/>
  <c r="Q18" i="1"/>
  <c r="Q19" i="1"/>
  <c r="Q8" i="1"/>
  <c r="R7" i="1"/>
  <c r="R12" i="1"/>
  <c r="R18" i="1"/>
  <c r="R19" i="1"/>
  <c r="R8" i="1"/>
  <c r="S7" i="1"/>
  <c r="S12" i="1"/>
  <c r="S18" i="1"/>
  <c r="S19" i="1"/>
  <c r="S8" i="1"/>
  <c r="T7" i="1"/>
  <c r="T12" i="1"/>
  <c r="T18" i="1"/>
  <c r="T19" i="1"/>
  <c r="T8" i="1"/>
  <c r="U7" i="1"/>
  <c r="U12" i="1"/>
  <c r="U18" i="1"/>
  <c r="U19" i="1"/>
  <c r="U8" i="1"/>
  <c r="V7" i="1"/>
  <c r="V12" i="1"/>
  <c r="V18" i="1"/>
  <c r="V19" i="1"/>
  <c r="V8" i="1"/>
  <c r="W7" i="1"/>
  <c r="W12" i="1"/>
  <c r="W18" i="1"/>
  <c r="W19" i="1"/>
  <c r="W8" i="1"/>
  <c r="X7" i="1"/>
  <c r="X12" i="1"/>
  <c r="X18" i="1"/>
  <c r="X19" i="1"/>
  <c r="X8" i="1"/>
  <c r="Y7" i="1"/>
  <c r="Y12" i="1"/>
  <c r="Y18" i="1"/>
  <c r="Y19" i="1"/>
  <c r="Y8" i="1"/>
  <c r="Z7" i="1"/>
  <c r="Z12" i="1"/>
  <c r="Z18" i="1"/>
  <c r="Z19" i="1"/>
  <c r="Z8" i="1"/>
  <c r="AA7" i="1"/>
  <c r="AA12" i="1"/>
  <c r="AA18" i="1"/>
  <c r="AA19" i="1"/>
  <c r="AA8" i="1"/>
  <c r="AB7" i="1"/>
  <c r="AB12" i="1"/>
  <c r="AB18" i="1"/>
  <c r="AB19" i="1"/>
  <c r="AB8" i="1"/>
  <c r="AC7" i="1"/>
  <c r="AC12" i="1"/>
  <c r="AC18" i="1"/>
  <c r="AC19" i="1"/>
  <c r="AC8" i="1"/>
  <c r="AD7" i="1"/>
  <c r="AD12" i="1"/>
  <c r="AD18" i="1"/>
  <c r="AD19" i="1"/>
  <c r="AD8" i="1"/>
  <c r="AE7" i="1"/>
  <c r="AE12" i="1"/>
  <c r="AE18" i="1"/>
  <c r="AE19" i="1"/>
  <c r="AE8" i="1"/>
  <c r="AF7" i="1"/>
  <c r="AF12" i="1"/>
  <c r="AF18" i="1"/>
  <c r="AF19" i="1"/>
  <c r="AF8" i="1"/>
  <c r="AG7" i="1"/>
  <c r="AG12" i="1"/>
  <c r="AG18" i="1"/>
  <c r="AG19" i="1"/>
  <c r="AG8" i="1"/>
  <c r="AH7" i="1"/>
  <c r="AH12" i="1"/>
  <c r="AH18" i="1"/>
  <c r="AH19" i="1"/>
  <c r="AH8" i="1"/>
  <c r="AI12" i="1"/>
  <c r="AI18" i="1"/>
  <c r="AI19" i="1"/>
  <c r="AI8" i="1"/>
  <c r="AI7" i="1"/>
  <c r="B33" i="1"/>
  <c r="B42" i="1"/>
  <c r="B43" i="1"/>
  <c r="B23" i="1"/>
  <c r="K4" i="1"/>
  <c r="K20" i="1"/>
  <c r="L4" i="1"/>
  <c r="L20" i="1"/>
  <c r="M4" i="1"/>
  <c r="M20" i="1"/>
  <c r="N4" i="1"/>
  <c r="N20" i="1"/>
  <c r="O4" i="1"/>
  <c r="O20" i="1"/>
  <c r="P4" i="1"/>
  <c r="P20" i="1"/>
  <c r="Q4" i="1"/>
  <c r="Q20" i="1"/>
  <c r="R4" i="1"/>
  <c r="R20" i="1"/>
  <c r="S4" i="1"/>
  <c r="S20" i="1"/>
  <c r="T4" i="1"/>
  <c r="T20" i="1"/>
  <c r="U4" i="1"/>
  <c r="U20" i="1"/>
  <c r="V4" i="1"/>
  <c r="V20" i="1"/>
  <c r="W4" i="1"/>
  <c r="W20" i="1"/>
  <c r="X4" i="1"/>
  <c r="X20" i="1"/>
  <c r="Y4" i="1"/>
  <c r="Y20" i="1"/>
  <c r="Z4" i="1"/>
  <c r="Z20" i="1"/>
  <c r="AA4" i="1"/>
  <c r="AA20" i="1"/>
  <c r="AB4" i="1"/>
  <c r="AB20" i="1"/>
  <c r="AC4" i="1"/>
  <c r="AC20" i="1"/>
  <c r="AD4" i="1"/>
  <c r="AD20" i="1"/>
  <c r="AE4" i="1"/>
  <c r="AE20" i="1"/>
  <c r="AF4" i="1"/>
  <c r="AF20" i="1"/>
  <c r="AG4" i="1"/>
  <c r="AG20" i="1"/>
  <c r="AH4" i="1"/>
  <c r="AH20" i="1"/>
  <c r="AI4" i="1"/>
  <c r="AI20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K5" i="1"/>
  <c r="K7" i="1"/>
  <c r="K22" i="1"/>
  <c r="K26" i="1"/>
  <c r="L23" i="1"/>
  <c r="L47" i="1"/>
  <c r="M23" i="1"/>
  <c r="M47" i="1"/>
  <c r="N23" i="1"/>
  <c r="N47" i="1"/>
  <c r="O23" i="1"/>
  <c r="O47" i="1"/>
  <c r="P23" i="1"/>
  <c r="P47" i="1"/>
  <c r="Q23" i="1"/>
  <c r="Q47" i="1"/>
  <c r="R23" i="1"/>
  <c r="R47" i="1"/>
  <c r="S23" i="1"/>
  <c r="S47" i="1"/>
  <c r="T23" i="1"/>
  <c r="T47" i="1"/>
  <c r="U23" i="1"/>
  <c r="U47" i="1"/>
  <c r="V23" i="1"/>
  <c r="V47" i="1"/>
  <c r="W23" i="1"/>
  <c r="W47" i="1"/>
  <c r="X23" i="1"/>
  <c r="X47" i="1"/>
  <c r="Y23" i="1"/>
  <c r="Y47" i="1"/>
  <c r="Z23" i="1"/>
  <c r="Z47" i="1"/>
  <c r="AA23" i="1"/>
  <c r="AA47" i="1"/>
  <c r="AB23" i="1"/>
  <c r="AB47" i="1"/>
  <c r="AC23" i="1"/>
  <c r="AC47" i="1"/>
  <c r="AD23" i="1"/>
  <c r="AD47" i="1"/>
  <c r="AE23" i="1"/>
  <c r="AE47" i="1"/>
  <c r="AF23" i="1"/>
  <c r="AF47" i="1"/>
  <c r="AG23" i="1"/>
  <c r="AG47" i="1"/>
  <c r="AH23" i="1"/>
  <c r="AH47" i="1"/>
  <c r="AI23" i="1"/>
  <c r="AI47" i="1"/>
  <c r="L24" i="1"/>
  <c r="L48" i="1"/>
  <c r="M24" i="1"/>
  <c r="M48" i="1"/>
  <c r="N24" i="1"/>
  <c r="N48" i="1"/>
  <c r="O24" i="1"/>
  <c r="O48" i="1"/>
  <c r="P24" i="1"/>
  <c r="P48" i="1"/>
  <c r="Q24" i="1"/>
  <c r="Q48" i="1"/>
  <c r="R24" i="1"/>
  <c r="R48" i="1"/>
  <c r="S24" i="1"/>
  <c r="S48" i="1"/>
  <c r="T24" i="1"/>
  <c r="T48" i="1"/>
  <c r="U24" i="1"/>
  <c r="U48" i="1"/>
  <c r="V24" i="1"/>
  <c r="V48" i="1"/>
  <c r="W24" i="1"/>
  <c r="W48" i="1"/>
  <c r="X24" i="1"/>
  <c r="X48" i="1"/>
  <c r="Y24" i="1"/>
  <c r="Y48" i="1"/>
  <c r="Z24" i="1"/>
  <c r="Z48" i="1"/>
  <c r="AA24" i="1"/>
  <c r="AA48" i="1"/>
  <c r="AB24" i="1"/>
  <c r="AB48" i="1"/>
  <c r="AC24" i="1"/>
  <c r="AC48" i="1"/>
  <c r="AD24" i="1"/>
  <c r="AD48" i="1"/>
  <c r="AE24" i="1"/>
  <c r="AE48" i="1"/>
  <c r="AF24" i="1"/>
  <c r="AF48" i="1"/>
  <c r="AG24" i="1"/>
  <c r="AG48" i="1"/>
  <c r="AH24" i="1"/>
  <c r="AH48" i="1"/>
  <c r="AI24" i="1"/>
  <c r="AI48" i="1"/>
  <c r="K24" i="1"/>
  <c r="K48" i="1"/>
  <c r="K23" i="1"/>
  <c r="K47" i="1"/>
  <c r="L22" i="1"/>
  <c r="L46" i="1"/>
  <c r="M22" i="1"/>
  <c r="M46" i="1"/>
  <c r="N22" i="1"/>
  <c r="N46" i="1"/>
  <c r="O22" i="1"/>
  <c r="O46" i="1"/>
  <c r="P22" i="1"/>
  <c r="P46" i="1"/>
  <c r="Q22" i="1"/>
  <c r="Q46" i="1"/>
  <c r="R22" i="1"/>
  <c r="R46" i="1"/>
  <c r="S22" i="1"/>
  <c r="S46" i="1"/>
  <c r="T22" i="1"/>
  <c r="T46" i="1"/>
  <c r="U22" i="1"/>
  <c r="U46" i="1"/>
  <c r="V22" i="1"/>
  <c r="V46" i="1"/>
  <c r="W22" i="1"/>
  <c r="W46" i="1"/>
  <c r="X22" i="1"/>
  <c r="X46" i="1"/>
  <c r="Y22" i="1"/>
  <c r="Y46" i="1"/>
  <c r="Z22" i="1"/>
  <c r="Z46" i="1"/>
  <c r="AA22" i="1"/>
  <c r="AA46" i="1"/>
  <c r="AB22" i="1"/>
  <c r="AB46" i="1"/>
  <c r="AC22" i="1"/>
  <c r="AC46" i="1"/>
  <c r="AD22" i="1"/>
  <c r="AD46" i="1"/>
  <c r="AE22" i="1"/>
  <c r="AE46" i="1"/>
  <c r="AF22" i="1"/>
  <c r="AF46" i="1"/>
  <c r="AG22" i="1"/>
  <c r="AG46" i="1"/>
  <c r="AH22" i="1"/>
  <c r="AH46" i="1"/>
  <c r="AI22" i="1"/>
  <c r="AI46" i="1"/>
  <c r="K46" i="1"/>
  <c r="K10" i="1"/>
  <c r="K11" i="1"/>
  <c r="K38" i="1"/>
  <c r="L10" i="1"/>
  <c r="L11" i="1"/>
  <c r="L38" i="1"/>
  <c r="M10" i="1"/>
  <c r="M11" i="1"/>
  <c r="M38" i="1"/>
  <c r="N10" i="1"/>
  <c r="N11" i="1"/>
  <c r="N38" i="1"/>
  <c r="O10" i="1"/>
  <c r="O11" i="1"/>
  <c r="O38" i="1"/>
  <c r="P10" i="1"/>
  <c r="P11" i="1"/>
  <c r="P38" i="1"/>
  <c r="Q10" i="1"/>
  <c r="Q11" i="1"/>
  <c r="Q38" i="1"/>
  <c r="R10" i="1"/>
  <c r="R11" i="1"/>
  <c r="R38" i="1"/>
  <c r="S10" i="1"/>
  <c r="S11" i="1"/>
  <c r="S38" i="1"/>
  <c r="T10" i="1"/>
  <c r="T11" i="1"/>
  <c r="T38" i="1"/>
  <c r="U10" i="1"/>
  <c r="U11" i="1"/>
  <c r="U38" i="1"/>
  <c r="V10" i="1"/>
  <c r="V11" i="1"/>
  <c r="V38" i="1"/>
  <c r="W10" i="1"/>
  <c r="W11" i="1"/>
  <c r="W38" i="1"/>
  <c r="X10" i="1"/>
  <c r="X11" i="1"/>
  <c r="X38" i="1"/>
  <c r="Y10" i="1"/>
  <c r="Y11" i="1"/>
  <c r="Y38" i="1"/>
  <c r="Z10" i="1"/>
  <c r="Z11" i="1"/>
  <c r="Z38" i="1"/>
  <c r="AA10" i="1"/>
  <c r="AA11" i="1"/>
  <c r="AA38" i="1"/>
  <c r="AB10" i="1"/>
  <c r="AB11" i="1"/>
  <c r="AB38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D10" i="1"/>
  <c r="AD11" i="1"/>
  <c r="AD38" i="1"/>
  <c r="AE10" i="1"/>
  <c r="AE11" i="1"/>
  <c r="AE38" i="1"/>
  <c r="AF10" i="1"/>
  <c r="AF11" i="1"/>
  <c r="AF38" i="1"/>
  <c r="AG10" i="1"/>
  <c r="AG11" i="1"/>
  <c r="AG38" i="1"/>
  <c r="AH10" i="1"/>
  <c r="AH11" i="1"/>
  <c r="AH38" i="1"/>
  <c r="AI10" i="1"/>
  <c r="AI11" i="1"/>
  <c r="AI38" i="1"/>
  <c r="AD39" i="1"/>
  <c r="AE39" i="1"/>
  <c r="AF39" i="1"/>
  <c r="AG39" i="1"/>
  <c r="AH39" i="1"/>
  <c r="AI39" i="1"/>
  <c r="AD40" i="1"/>
  <c r="AE40" i="1"/>
  <c r="AF40" i="1"/>
  <c r="AG40" i="1"/>
  <c r="AH40" i="1"/>
  <c r="AI40" i="1"/>
  <c r="AD41" i="1"/>
  <c r="AE41" i="1"/>
  <c r="AF41" i="1"/>
  <c r="AG41" i="1"/>
  <c r="AH41" i="1"/>
  <c r="AI41" i="1"/>
  <c r="AD42" i="1"/>
  <c r="AE42" i="1"/>
  <c r="AF42" i="1"/>
  <c r="AG42" i="1"/>
  <c r="AH42" i="1"/>
  <c r="AI42" i="1"/>
  <c r="AD43" i="1"/>
  <c r="AE43" i="1"/>
  <c r="AF43" i="1"/>
  <c r="AG43" i="1"/>
  <c r="AH43" i="1"/>
  <c r="AI43" i="1"/>
  <c r="AC10" i="1"/>
  <c r="AC11" i="1"/>
  <c r="AC39" i="1"/>
  <c r="AC38" i="1"/>
  <c r="AC43" i="1"/>
  <c r="AC42" i="1"/>
  <c r="AC41" i="1"/>
  <c r="AC40" i="1"/>
  <c r="I36" i="1"/>
  <c r="H37" i="1"/>
  <c r="G37" i="1"/>
  <c r="H35" i="1"/>
  <c r="I35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G36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G31" i="1"/>
  <c r="B13" i="1"/>
  <c r="B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K28" i="1"/>
  <c r="K27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6" i="1"/>
  <c r="B35" i="1"/>
  <c r="B36" i="1"/>
  <c r="B39" i="1"/>
  <c r="B34" i="1"/>
  <c r="C34" i="1"/>
  <c r="C11" i="1"/>
  <c r="C35" i="1"/>
  <c r="C12" i="1"/>
  <c r="C36" i="1"/>
  <c r="C13" i="1"/>
  <c r="B38" i="1"/>
  <c r="B32" i="1"/>
  <c r="B21" i="1"/>
  <c r="H32" i="1"/>
  <c r="H31" i="1"/>
  <c r="H40" i="1"/>
  <c r="H52" i="1"/>
  <c r="H33" i="1"/>
  <c r="I41" i="1"/>
  <c r="I52" i="1"/>
  <c r="B45" i="1"/>
  <c r="B46" i="1"/>
  <c r="I40" i="1"/>
  <c r="H41" i="1"/>
  <c r="C7" i="1"/>
  <c r="C14" i="1"/>
  <c r="C15" i="1"/>
  <c r="B49" i="1"/>
  <c r="B37" i="1"/>
  <c r="B44" i="1"/>
  <c r="C44" i="1"/>
  <c r="C4" i="1"/>
  <c r="C45" i="1"/>
  <c r="C5" i="1"/>
  <c r="C46" i="1"/>
  <c r="C6" i="1"/>
  <c r="C8" i="1"/>
  <c r="J53" i="1" a="1"/>
  <c r="J55" i="1"/>
  <c r="I55" i="1"/>
  <c r="I49" i="1"/>
  <c r="H55" i="1"/>
  <c r="H49" i="1"/>
  <c r="J54" i="1"/>
  <c r="I54" i="1"/>
  <c r="I48" i="1"/>
  <c r="H54" i="1"/>
  <c r="H48" i="1"/>
  <c r="H39" i="1"/>
  <c r="G39" i="1"/>
  <c r="G52" i="1"/>
  <c r="J53" i="1"/>
  <c r="H53" i="1"/>
  <c r="H47" i="1"/>
  <c r="B47" i="1"/>
  <c r="I39" i="1"/>
  <c r="I53" i="1"/>
  <c r="I47" i="1"/>
  <c r="G55" i="1"/>
  <c r="G53" i="1"/>
  <c r="G47" i="1"/>
  <c r="G40" i="1"/>
  <c r="G54" i="1"/>
  <c r="G41" i="1"/>
  <c r="G49" i="1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</t>
        </r>
      </text>
    </comment>
  </commentList>
</comments>
</file>

<file path=xl/sharedStrings.xml><?xml version="1.0" encoding="utf-8"?>
<sst xmlns="http://schemas.openxmlformats.org/spreadsheetml/2006/main" count="95" uniqueCount="90">
  <si>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</si>
  <si>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</si>
  <si>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</si>
  <si>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</si>
  <si>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</si>
  <si>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</si>
  <si>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</si>
  <si>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</si>
  <si>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</si>
  <si>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</si>
  <si>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</si>
  <si>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</si>
  <si>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</si>
  <si>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</si>
  <si>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</si>
  <si>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</si>
  <si>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</si>
  <si>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</si>
  <si>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</si>
  <si>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</si>
  <si>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</si>
  <si>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</si>
  <si>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</si>
  <si>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</si>
  <si>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</si>
  <si>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</si>
  <si>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</si>
  <si>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</si>
  <si>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</si>
  <si>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</si>
  <si>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</si>
  <si>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</si>
  <si>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</si>
  <si>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</si>
  <si>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</si>
  <si>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</si>
  <si>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</si>
  <si>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</si>
  <si>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</si>
  <si>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</si>
  <si>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</si>
  <si>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</si>
  <si>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</si>
  <si>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</si>
  <si>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</si>
  <si>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</si>
  <si>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</si>
  <si>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</si>
  <si>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</si>
  <si>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</si>
  <si>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</si>
  <si>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</si>
  <si>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</si>
  <si>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</si>
  <si>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</si>
  <si>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</si>
  <si>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</si>
  <si>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</si>
  <si>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</si>
  <si>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</si>
  <si>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</si>
  <si>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</si>
  <si>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</si>
  <si>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</si>
  <si>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</si>
  <si>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</si>
  <si>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</si>
  <si>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</si>
  <si>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</si>
  <si>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</si>
  <si>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Mitigation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</si>
  <si>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</si>
  <si>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</si>
  <si>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</si>
  <si>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</si>
  <si>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</si>
  <si>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</si>
  <si>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</si>
  <si>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</si>
  <si>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PSC limit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</si>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</sst>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0.0000"/>
  </numFmts>
  <fonts count="13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4" fillId="0" borderId="0" xfId="0" applyNumberFormat="1" applyFont="1"/>
    <xf numFmtId="2" fontId="0" fillId="0" borderId="0" xfId="0" applyNumberFormat="1" applyFont="1"/>
    <xf numFmtId="0" fontId="2" fillId="4" borderId="0" xfId="5"/>
    <xf numFmtId="0" fontId="2" fillId="6" borderId="0" xfId="7"/>
    <xf numFmtId="0" fontId="2" fillId="2" borderId="0" xfId="3"/>
    <xf numFmtId="2" fontId="2" fillId="5" borderId="0" xfId="6" applyNumberFormat="1"/>
    <xf numFmtId="0" fontId="2" fillId="5" borderId="0" xfId="6"/>
    <xf numFmtId="0" fontId="4" fillId="0" borderId="0" xfId="0" applyFont="1"/>
    <xf numFmtId="9" fontId="4" fillId="0" borderId="0" xfId="2" applyFont="1"/>
    <xf numFmtId="0" fontId="8" fillId="0" borderId="0" xfId="0" applyFont="1" applyAlignment="1">
      <alignment horizontal="right"/>
    </xf>
    <xf numFmtId="10" fontId="9" fillId="0" borderId="0" xfId="2" applyNumberFormat="1" applyFont="1"/>
    <xf numFmtId="0" fontId="10" fillId="0" borderId="0" xfId="0" applyFont="1"/>
    <xf numFmtId="9" fontId="10" fillId="0" borderId="0" xfId="2" applyFont="1"/>
    <xf numFmtId="2" fontId="10" fillId="0" borderId="0" xfId="0" applyNumberFormat="1" applyFont="1"/>
    <xf numFmtId="0" fontId="2" fillId="5" borderId="0" xfId="6" applyAlignment="1">
      <alignment horizontal="left"/>
    </xf>
    <xf numFmtId="9" fontId="8" fillId="0" borderId="0" xfId="2" applyFont="1"/>
    <xf numFmtId="0" fontId="3" fillId="0" borderId="0" xfId="0" applyFont="1"/>
    <xf numFmtId="0" fontId="0" fillId="0" borderId="0" xfId="0" applyFont="1" applyAlignment="1">
      <alignment horizontal="right"/>
    </xf>
    <xf numFmtId="165" fontId="2" fillId="3" borderId="0" xfId="4" applyNumberFormat="1" applyAlignment="1">
      <alignment horizontal="center"/>
    </xf>
    <xf numFmtId="2" fontId="4" fillId="0" borderId="0" xfId="0" applyNumberFormat="1" applyFont="1"/>
    <xf numFmtId="2" fontId="8" fillId="0" borderId="0" xfId="0" applyNumberFormat="1" applyFont="1"/>
    <xf numFmtId="164" fontId="0" fillId="0" borderId="0" xfId="0" applyNumberFormat="1"/>
    <xf numFmtId="0" fontId="2" fillId="6" borderId="1" xfId="7" applyBorder="1"/>
  </cellXfs>
  <cellStyles count="46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abSelected="1" workbookViewId="0">
      <pane xSplit="10" topLeftCell="K1" activePane="topRight" state="frozen"/>
      <selection pane="topRight" activeCell="M54" sqref="M54"/>
    </sheetView>
  </sheetViews>
  <sheetFormatPr baseColWidth="10" defaultRowHeight="18" x14ac:dyDescent="0"/>
  <cols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75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$C44</f>
        <v>0.46633773903771369</v>
      </c>
      <c r="J4" t="s">
        <v>80</v>
      </c>
      <c r="K4" s="1">
        <f>linf*(1-EXP(-vonbk*age))</f>
        <v>19.793516300140091</v>
      </c>
      <c r="L4" s="1">
        <f>linf*(1-EXP(-vonbk*age))</f>
        <v>35.598960092080048</v>
      </c>
      <c r="M4" s="1">
        <f>linf*(1-EXP(-vonbk*age))</f>
        <v>48.219863304633819</v>
      </c>
      <c r="N4" s="1">
        <f>linf*(1-EXP(-vonbk*age))</f>
        <v>58.297859215250313</v>
      </c>
      <c r="O4" s="1">
        <f>linf*(1-EXP(-vonbk*age))</f>
        <v>66.345302402468292</v>
      </c>
      <c r="P4" s="1">
        <f>linf*(1-EXP(-vonbk*age))</f>
        <v>72.771316307006472</v>
      </c>
      <c r="Q4" s="1">
        <f>linf*(1-EXP(-vonbk*age))</f>
        <v>77.902592631753492</v>
      </c>
      <c r="R4" s="1">
        <f>linf*(1-EXP(-vonbk*age))</f>
        <v>82</v>
      </c>
      <c r="S4" s="1">
        <f>linf*(1-EXP(-vonbk*age))</f>
        <v>85.271846238409012</v>
      </c>
      <c r="T4" s="1">
        <f>linf*(1-EXP(-vonbk*age))</f>
        <v>87.884468525065458</v>
      </c>
      <c r="U4" s="1">
        <f>linf*(1-EXP(-vonbk*age))</f>
        <v>89.970689794452838</v>
      </c>
      <c r="V4" s="1">
        <f>linf*(1-EXP(-vonbk*age))</f>
        <v>91.636571313979459</v>
      </c>
      <c r="W4" s="1">
        <f>linf*(1-EXP(-vonbk*age))</f>
        <v>92.966804725852967</v>
      </c>
      <c r="X4" s="1">
        <f>linf*(1-EXP(-vonbk*age))</f>
        <v>94.029017679969584</v>
      </c>
      <c r="Y4" s="1">
        <f>linf*(1-EXP(-vonbk*age))</f>
        <v>94.877211951608004</v>
      </c>
      <c r="Z4" s="1">
        <f>linf*(1-EXP(-vonbk*age))</f>
        <v>95.554508834170107</v>
      </c>
      <c r="AA4" s="1">
        <f>linf*(1-EXP(-vonbk*age))</f>
        <v>96.095341379811089</v>
      </c>
      <c r="AB4" s="1">
        <f>linf*(1-EXP(-vonbk*age))</f>
        <v>96.527204939138343</v>
      </c>
      <c r="AC4" s="1">
        <f>linf*(1-EXP(-vonbk*age))</f>
        <v>96.872054995552304</v>
      </c>
      <c r="AD4" s="1">
        <f>linf*(1-EXP(-vonbk*age))</f>
        <v>97.147423358638946</v>
      </c>
      <c r="AE4" s="1">
        <f>linf*(1-EXP(-vonbk*age))</f>
        <v>97.367309462696838</v>
      </c>
      <c r="AF4" s="1">
        <f>linf*(1-EXP(-vonbk*age))</f>
        <v>97.542892083066874</v>
      </c>
      <c r="AG4" s="1">
        <f>linf*(1-EXP(-vonbk*age))</f>
        <v>97.683097653164623</v>
      </c>
      <c r="AH4" s="1">
        <f>linf*(1-EXP(-vonbk*age))</f>
        <v>97.795054074848096</v>
      </c>
      <c r="AI4" s="1">
        <f>linf*(1-EXP(-vonbk*age))</f>
        <v>97.884453093356598</v>
      </c>
    </row>
    <row r="5" spans="1:35">
      <c r="A5" s="5">
        <v>2</v>
      </c>
      <c r="B5" s="25">
        <v>0.33333000000000002</v>
      </c>
      <c r="C5" s="22">
        <f>$C45</f>
        <v>0.14368774721897648</v>
      </c>
      <c r="J5" t="s">
        <v>3</v>
      </c>
      <c r="K5" s="9">
        <f>0.00001*len^3</f>
        <v>7.7547688877270149E-2</v>
      </c>
      <c r="L5" s="9">
        <f>0.00001*len^3</f>
        <v>0.45114062302389013</v>
      </c>
      <c r="M5" s="9">
        <f>0.00001*len^3</f>
        <v>1.1211866673146547</v>
      </c>
      <c r="N5" s="9">
        <f>0.00001*len^3</f>
        <v>1.9813345892591618</v>
      </c>
      <c r="O5" s="9">
        <f>0.00001*len^3</f>
        <v>2.9203206124948746</v>
      </c>
      <c r="P5" s="9">
        <f>0.00001*len^3</f>
        <v>3.8537247471550278</v>
      </c>
      <c r="Q5" s="9">
        <f>0.00001*len^3</f>
        <v>4.7277634002826563</v>
      </c>
      <c r="R5" s="9">
        <f>0.00001*len^3</f>
        <v>5.5136800000000008</v>
      </c>
      <c r="S5" s="9">
        <f>0.00001*len^3</f>
        <v>6.2003613190327593</v>
      </c>
      <c r="T5" s="9">
        <f>0.00001*len^3</f>
        <v>6.7879149497799078</v>
      </c>
      <c r="U5" s="9">
        <f>0.00001*len^3</f>
        <v>7.2828799393382431</v>
      </c>
      <c r="V5" s="9">
        <f>0.00001*len^3</f>
        <v>7.6949622499586763</v>
      </c>
      <c r="W5" s="9">
        <f>0.00001*len^3</f>
        <v>8.0349598962254518</v>
      </c>
      <c r="X5" s="9">
        <f>0.00001*len^3</f>
        <v>8.3135343813632918</v>
      </c>
      <c r="Y5" s="9">
        <f>0.00001*len^3</f>
        <v>8.5405480865639891</v>
      </c>
      <c r="Z5" s="9">
        <f>0.00001*len^3</f>
        <v>8.724761289990024</v>
      </c>
      <c r="AA5" s="9">
        <f>0.00001*len^3</f>
        <v>8.8737461724953501</v>
      </c>
      <c r="AB5" s="9">
        <f>0.00001*len^3</f>
        <v>8.9939235686508034</v>
      </c>
      <c r="AC5" s="9">
        <f>0.00001*len^3</f>
        <v>9.0906625791293632</v>
      </c>
      <c r="AD5" s="9">
        <f>0.00001*len^3</f>
        <v>9.1684064683953039</v>
      </c>
      <c r="AE5" s="9">
        <f>0.00001*len^3</f>
        <v>9.2308035438579932</v>
      </c>
      <c r="AF5" s="9">
        <f>0.00001*len^3</f>
        <v>9.2808314179412932</v>
      </c>
      <c r="AG5" s="9">
        <f>0.00001*len^3</f>
        <v>9.3209090332404063</v>
      </c>
      <c r="AH5" s="9">
        <f>0.00001*len^3</f>
        <v>9.3529943822889159</v>
      </c>
      <c r="AI5" s="9">
        <f>0.00001*len^3</f>
        <v>9.3786678620287827</v>
      </c>
    </row>
    <row r="6" spans="1:35">
      <c r="A6" s="5">
        <v>3</v>
      </c>
      <c r="B6" s="25">
        <f>1-SUM(B4:B5)</f>
        <v>0.33333999999999997</v>
      </c>
      <c r="C6" s="22">
        <f>$C46</f>
        <v>0.38997451374330983</v>
      </c>
      <c r="J6" t="s">
        <v>6</v>
      </c>
      <c r="K6" s="1">
        <f t="shared" ref="K6:AH6" si="0">EXP(-M*(age-1))</f>
        <v>1</v>
      </c>
      <c r="L6" s="1">
        <f t="shared" si="0"/>
        <v>0.86070797642505781</v>
      </c>
      <c r="M6" s="1">
        <f t="shared" si="0"/>
        <v>0.74081822068171788</v>
      </c>
      <c r="N6" s="1">
        <f t="shared" si="0"/>
        <v>0.63762815162177333</v>
      </c>
      <c r="O6" s="1">
        <f t="shared" si="0"/>
        <v>0.54881163609402639</v>
      </c>
      <c r="P6" s="1">
        <f t="shared" si="0"/>
        <v>0.47236655274101469</v>
      </c>
      <c r="Q6" s="1">
        <f t="shared" si="0"/>
        <v>0.40656965974059917</v>
      </c>
      <c r="R6" s="1">
        <f t="shared" si="0"/>
        <v>0.34993774911115533</v>
      </c>
      <c r="S6" s="1">
        <f t="shared" si="0"/>
        <v>0.30119421191220214</v>
      </c>
      <c r="T6" s="1">
        <f t="shared" si="0"/>
        <v>0.25924026064589156</v>
      </c>
      <c r="U6" s="1">
        <f t="shared" si="0"/>
        <v>0.22313016014842982</v>
      </c>
      <c r="V6" s="1">
        <f t="shared" si="0"/>
        <v>0.19204990862075413</v>
      </c>
      <c r="W6" s="1">
        <f t="shared" si="0"/>
        <v>0.16529888822158656</v>
      </c>
      <c r="X6" s="1">
        <f t="shared" si="0"/>
        <v>0.14227407158651359</v>
      </c>
      <c r="Y6" s="1">
        <f t="shared" si="0"/>
        <v>0.12245642825298191</v>
      </c>
      <c r="Z6" s="1">
        <f t="shared" si="0"/>
        <v>0.10539922456186433</v>
      </c>
      <c r="AA6" s="1">
        <f t="shared" si="0"/>
        <v>9.0717953289412512E-2</v>
      </c>
      <c r="AB6" s="1">
        <f t="shared" si="0"/>
        <v>7.8081666001153169E-2</v>
      </c>
      <c r="AC6" s="1">
        <f t="shared" si="0"/>
        <v>6.7205512739749784E-2</v>
      </c>
      <c r="AD6" s="1">
        <f t="shared" si="0"/>
        <v>5.7844320874838456E-2</v>
      </c>
      <c r="AE6" s="1">
        <f t="shared" si="0"/>
        <v>4.9787068367863944E-2</v>
      </c>
      <c r="AF6" s="1">
        <f t="shared" si="0"/>
        <v>4.2852126867040187E-2</v>
      </c>
      <c r="AG6" s="1">
        <f t="shared" si="0"/>
        <v>3.6883167401240015E-2</v>
      </c>
      <c r="AH6" s="1">
        <f t="shared" si="0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0.39999998979865592</v>
      </c>
      <c r="J7" t="s">
        <v>7</v>
      </c>
      <c r="K7" s="1">
        <f>1</f>
        <v>1</v>
      </c>
      <c r="L7" s="1">
        <f>K7*EXP(-K8)</f>
        <v>0.85973985850115997</v>
      </c>
      <c r="M7" s="1">
        <f t="shared" ref="M7:AH7" si="1">L7*EXP(-L8)</f>
        <v>0.73427477761809856</v>
      </c>
      <c r="N7" s="1">
        <f t="shared" si="1"/>
        <v>0.61261255596307529</v>
      </c>
      <c r="O7" s="1">
        <f t="shared" si="1"/>
        <v>0.50777726321701377</v>
      </c>
      <c r="P7" s="1">
        <f t="shared" si="1"/>
        <v>0.41871127055150842</v>
      </c>
      <c r="Q7" s="1">
        <f t="shared" si="1"/>
        <v>0.34204775912796986</v>
      </c>
      <c r="R7" s="1">
        <f t="shared" si="1"/>
        <v>0.27837002480360323</v>
      </c>
      <c r="S7" s="1">
        <f t="shared" si="1"/>
        <v>0.22373609727115656</v>
      </c>
      <c r="T7" s="1">
        <f t="shared" si="1"/>
        <v>0.1778177594548784</v>
      </c>
      <c r="U7" s="1">
        <f t="shared" si="1"/>
        <v>0.14067875322997433</v>
      </c>
      <c r="V7" s="1">
        <f t="shared" si="1"/>
        <v>0.11113766758531746</v>
      </c>
      <c r="W7" s="1">
        <f t="shared" si="1"/>
        <v>8.7763135831975259E-2</v>
      </c>
      <c r="X7" s="1">
        <f t="shared" si="1"/>
        <v>6.9296713150253708E-2</v>
      </c>
      <c r="Y7" s="1">
        <f t="shared" si="1"/>
        <v>5.4714328103356857E-2</v>
      </c>
      <c r="Z7" s="1">
        <f t="shared" si="1"/>
        <v>4.3200379068391602E-2</v>
      </c>
      <c r="AA7" s="1">
        <f t="shared" si="1"/>
        <v>3.4109394290713781E-2</v>
      </c>
      <c r="AB7" s="1">
        <f t="shared" si="1"/>
        <v>2.6931482446999343E-2</v>
      </c>
      <c r="AC7" s="1">
        <f t="shared" si="1"/>
        <v>2.126404534752999E-2</v>
      </c>
      <c r="AD7" s="1">
        <f t="shared" si="1"/>
        <v>1.6789224829186739E-2</v>
      </c>
      <c r="AE7" s="1">
        <f t="shared" si="1"/>
        <v>1.3256060586061132E-2</v>
      </c>
      <c r="AF7" s="1">
        <f t="shared" si="1"/>
        <v>1.0466404035734258E-2</v>
      </c>
      <c r="AG7" s="1">
        <f t="shared" si="1"/>
        <v>8.2638013661943503E-3</v>
      </c>
      <c r="AH7" s="1">
        <f t="shared" si="1"/>
        <v>6.5247189645251443E-3</v>
      </c>
      <c r="AI7" s="1">
        <f>AH7*EXP(-AH8)/(1-EXP(-AI8))</f>
        <v>2.4479485182073345E-2</v>
      </c>
    </row>
    <row r="8" spans="1:35">
      <c r="A8" s="5"/>
      <c r="B8" s="26" t="s">
        <v>50</v>
      </c>
      <c r="C8" s="26">
        <f>SUMXMY2(B4:B7,C4:C7)</f>
        <v>5.6862710830727428E-2</v>
      </c>
      <c r="J8" t="s">
        <v>11</v>
      </c>
      <c r="K8" s="1">
        <f t="shared" ref="K8:AI8" si="2">M+f1_*flt1_ +f2_*flt2_ +f3_*flt3_</f>
        <v>0.15112542560887685</v>
      </c>
      <c r="L8" s="1">
        <f t="shared" si="2"/>
        <v>0.15774653838470212</v>
      </c>
      <c r="M8" s="1">
        <f t="shared" si="2"/>
        <v>0.18115062461469172</v>
      </c>
      <c r="N8" s="1">
        <f t="shared" si="2"/>
        <v>0.18768979718052739</v>
      </c>
      <c r="O8" s="1">
        <f t="shared" si="2"/>
        <v>0.19286130256656703</v>
      </c>
      <c r="P8" s="1">
        <f t="shared" si="2"/>
        <v>0.20223121674083044</v>
      </c>
      <c r="Q8" s="1">
        <f t="shared" si="2"/>
        <v>0.20599912074974389</v>
      </c>
      <c r="R8" s="1">
        <f t="shared" si="2"/>
        <v>0.21848403301267455</v>
      </c>
      <c r="S8" s="1">
        <f t="shared" si="2"/>
        <v>0.22970801758370327</v>
      </c>
      <c r="T8" s="1">
        <f t="shared" si="2"/>
        <v>0.23428025742728831</v>
      </c>
      <c r="U8" s="1">
        <f t="shared" si="2"/>
        <v>0.23570926375668266</v>
      </c>
      <c r="V8" s="1">
        <f t="shared" si="2"/>
        <v>0.23612813412232952</v>
      </c>
      <c r="W8" s="1">
        <f t="shared" si="2"/>
        <v>0.23624407145173471</v>
      </c>
      <c r="X8" s="1">
        <f t="shared" si="2"/>
        <v>0.23627186092177055</v>
      </c>
      <c r="Y8" s="1">
        <f t="shared" si="2"/>
        <v>0.23627634491716029</v>
      </c>
      <c r="Z8" s="1">
        <f t="shared" si="2"/>
        <v>0.23627643119814634</v>
      </c>
      <c r="AA8" s="1">
        <f t="shared" si="2"/>
        <v>0.23627688527441762</v>
      </c>
      <c r="AB8" s="1">
        <f t="shared" si="2"/>
        <v>0.23627831890526785</v>
      </c>
      <c r="AC8" s="1">
        <f t="shared" si="2"/>
        <v>0.23628033314252259</v>
      </c>
      <c r="AD8" s="1">
        <f t="shared" si="2"/>
        <v>0.23628245084541052</v>
      </c>
      <c r="AE8" s="1">
        <f t="shared" si="2"/>
        <v>0.23628433877310392</v>
      </c>
      <c r="AF8" s="1">
        <f t="shared" si="2"/>
        <v>0.23628581631201961</v>
      </c>
      <c r="AG8" s="1">
        <f t="shared" si="2"/>
        <v>0.23628681378163124</v>
      </c>
      <c r="AH8" s="1">
        <f t="shared" si="2"/>
        <v>0.2362873299429378</v>
      </c>
      <c r="AI8" s="1">
        <f t="shared" si="2"/>
        <v>0.23628740048943764</v>
      </c>
    </row>
    <row r="9" spans="1:35">
      <c r="A9" s="12" t="s">
        <v>74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3">EXP(-za)</f>
        <v>0.85973985850115997</v>
      </c>
      <c r="L10" s="1">
        <f t="shared" si="3"/>
        <v>0.85406622754260486</v>
      </c>
      <c r="M10" s="1">
        <f t="shared" si="3"/>
        <v>0.8343096816566663</v>
      </c>
      <c r="N10" s="1">
        <f t="shared" si="3"/>
        <v>0.82887178572229536</v>
      </c>
      <c r="O10" s="1">
        <f t="shared" si="3"/>
        <v>0.82459633560347045</v>
      </c>
      <c r="P10" s="1">
        <f t="shared" si="3"/>
        <v>0.81690602375579546</v>
      </c>
      <c r="Q10" s="1">
        <f t="shared" si="3"/>
        <v>0.8138337918461761</v>
      </c>
      <c r="R10" s="1">
        <f t="shared" si="3"/>
        <v>0.80373631258971856</v>
      </c>
      <c r="S10" s="1">
        <f t="shared" si="3"/>
        <v>0.79476562621619562</v>
      </c>
      <c r="T10" s="1">
        <f t="shared" si="3"/>
        <v>0.79114006194455411</v>
      </c>
      <c r="U10" s="1">
        <f t="shared" si="3"/>
        <v>0.79001032518133962</v>
      </c>
      <c r="V10" s="1">
        <f t="shared" si="3"/>
        <v>0.78967948256248777</v>
      </c>
      <c r="W10" s="1">
        <f t="shared" si="3"/>
        <v>0.78958793453921261</v>
      </c>
      <c r="X10" s="1">
        <f t="shared" si="3"/>
        <v>0.78956599261384364</v>
      </c>
      <c r="Y10" s="1">
        <f t="shared" si="3"/>
        <v>0.78956245221151045</v>
      </c>
      <c r="Z10" s="1">
        <f t="shared" si="3"/>
        <v>0.78956238408728652</v>
      </c>
      <c r="AA10" s="1">
        <f t="shared" si="3"/>
        <v>0.78956202556582455</v>
      </c>
      <c r="AB10" s="1">
        <f t="shared" si="3"/>
        <v>0.789560893626158</v>
      </c>
      <c r="AC10" s="1">
        <f t="shared" si="3"/>
        <v>0.78955930326479284</v>
      </c>
      <c r="AD10" s="1">
        <f t="shared" si="3"/>
        <v>0.78955763121454658</v>
      </c>
      <c r="AE10" s="1">
        <f t="shared" si="3"/>
        <v>0.78955614058823609</v>
      </c>
      <c r="AF10" s="1">
        <f t="shared" si="3"/>
        <v>0.78955497398917418</v>
      </c>
      <c r="AG10" s="1">
        <f t="shared" si="3"/>
        <v>0.78955418643247366</v>
      </c>
      <c r="AH10" s="1">
        <f t="shared" si="3"/>
        <v>0.78955377889525835</v>
      </c>
      <c r="AI10" s="1">
        <f t="shared" si="3"/>
        <v>0.78955372319500483</v>
      </c>
    </row>
    <row r="11" spans="1:35">
      <c r="A11" s="5">
        <v>1</v>
      </c>
      <c r="B11" s="25">
        <v>0.33333000000000002</v>
      </c>
      <c r="C11" s="18">
        <f>$C34</f>
        <v>0.33333010826615006</v>
      </c>
      <c r="J11" t="s">
        <v>56</v>
      </c>
      <c r="K11" s="1">
        <f>1-sa</f>
        <v>0.14026014149884003</v>
      </c>
      <c r="L11" s="1">
        <f t="shared" ref="L11:AI11" si="4">1-sa</f>
        <v>0.14593377245739514</v>
      </c>
      <c r="M11" s="1">
        <f t="shared" si="4"/>
        <v>0.1656903183433337</v>
      </c>
      <c r="N11" s="1">
        <f t="shared" si="4"/>
        <v>0.17112821427770464</v>
      </c>
      <c r="O11" s="1">
        <f t="shared" si="4"/>
        <v>0.17540366439652955</v>
      </c>
      <c r="P11" s="1">
        <f t="shared" si="4"/>
        <v>0.18309397624420454</v>
      </c>
      <c r="Q11" s="1">
        <f t="shared" si="4"/>
        <v>0.1861662081538239</v>
      </c>
      <c r="R11" s="1">
        <f t="shared" si="4"/>
        <v>0.19626368741028144</v>
      </c>
      <c r="S11" s="1">
        <f t="shared" si="4"/>
        <v>0.20523437378380438</v>
      </c>
      <c r="T11" s="1">
        <f t="shared" si="4"/>
        <v>0.20885993805544589</v>
      </c>
      <c r="U11" s="1">
        <f t="shared" si="4"/>
        <v>0.20998967481866038</v>
      </c>
      <c r="V11" s="1">
        <f t="shared" si="4"/>
        <v>0.21032051743751223</v>
      </c>
      <c r="W11" s="1">
        <f t="shared" si="4"/>
        <v>0.21041206546078739</v>
      </c>
      <c r="X11" s="1">
        <f t="shared" si="4"/>
        <v>0.21043400738615636</v>
      </c>
      <c r="Y11" s="1">
        <f t="shared" si="4"/>
        <v>0.21043754778848955</v>
      </c>
      <c r="Z11" s="1">
        <f t="shared" si="4"/>
        <v>0.21043761591271348</v>
      </c>
      <c r="AA11" s="1">
        <f t="shared" si="4"/>
        <v>0.21043797443417545</v>
      </c>
      <c r="AB11" s="1">
        <f t="shared" si="4"/>
        <v>0.210439106373842</v>
      </c>
      <c r="AC11" s="1">
        <f t="shared" si="4"/>
        <v>0.21044069673520716</v>
      </c>
      <c r="AD11" s="1">
        <f t="shared" si="4"/>
        <v>0.21044236878545342</v>
      </c>
      <c r="AE11" s="1">
        <f t="shared" si="4"/>
        <v>0.21044385941176391</v>
      </c>
      <c r="AF11" s="1">
        <f t="shared" si="4"/>
        <v>0.21044502601082582</v>
      </c>
      <c r="AG11" s="1">
        <f t="shared" si="4"/>
        <v>0.21044581356752634</v>
      </c>
      <c r="AH11" s="1">
        <f t="shared" si="4"/>
        <v>0.21044622110474165</v>
      </c>
      <c r="AI11" s="1">
        <f t="shared" si="4"/>
        <v>0.21044627680499517</v>
      </c>
    </row>
    <row r="12" spans="1:35">
      <c r="A12" s="5">
        <v>2</v>
      </c>
      <c r="B12" s="25">
        <v>0.33333000000000002</v>
      </c>
      <c r="C12" s="18">
        <f>$C35</f>
        <v>0.33332988062930163</v>
      </c>
      <c r="J12" t="s">
        <v>85</v>
      </c>
      <c r="K12">
        <f>1/(1+EXP(($E18-len)/2.5))</f>
        <v>1.5618055299195349E-11</v>
      </c>
      <c r="L12">
        <f>1/(1+EXP(($E18-len)/2.5))</f>
        <v>8.6958844766999485E-9</v>
      </c>
      <c r="M12">
        <f>1/(1+EXP(($E18-len)/2.5))</f>
        <v>1.3545299926786416E-6</v>
      </c>
      <c r="N12">
        <f>1/(1+EXP(($E18-len)/2.5))</f>
        <v>7.6292752615683731E-5</v>
      </c>
      <c r="O12">
        <f>1/(1+EXP(($E18-len)/2.5))</f>
        <v>1.9040256337351216E-3</v>
      </c>
      <c r="P12">
        <f>1/(1+EXP(($E18-len)/2.5))</f>
        <v>2.4328594283902095E-2</v>
      </c>
      <c r="Q12">
        <f>1/(1+EXP(($E18-len)/2.5))</f>
        <v>0.16260622391362409</v>
      </c>
      <c r="R12">
        <f>1/(1+EXP(($E18-len)/2.5))</f>
        <v>0.5</v>
      </c>
      <c r="S12">
        <f>1/(1+EXP(($E18-len)/2.5))</f>
        <v>0.78730198394011408</v>
      </c>
      <c r="T12">
        <f>1/(1+EXP(($E18-len)/2.5))</f>
        <v>0.91323480063075901</v>
      </c>
      <c r="U12">
        <f>1/(1+EXP(($E18-len)/2.5))</f>
        <v>0.96039068767942826</v>
      </c>
      <c r="V12">
        <f>1/(1+EXP(($E18-len)/2.5))</f>
        <v>0.97925787840790035</v>
      </c>
      <c r="W12">
        <f>1/(1+EXP(($E18-len)/2.5))</f>
        <v>0.98771144058640681</v>
      </c>
      <c r="X12">
        <f>1/(1+EXP(($E18-len)/2.5))</f>
        <v>0.99193086459256363</v>
      </c>
      <c r="Y12">
        <f>1/(1+EXP(($E18-len)/2.5))</f>
        <v>0.99423910442267971</v>
      </c>
      <c r="Z12">
        <f>1/(1+EXP(($E18-len)/2.5))</f>
        <v>0.99560027379947402</v>
      </c>
      <c r="AA12">
        <f>1/(1+EXP(($E18-len)/2.5))</f>
        <v>0.99645312990255264</v>
      </c>
      <c r="AB12">
        <f>1/(1+EXP(($E18-len)/2.5))</f>
        <v>0.99701415439587071</v>
      </c>
      <c r="AC12">
        <f>1/(1+EXP(($E18-len)/2.5))</f>
        <v>0.99739787669880464</v>
      </c>
      <c r="AD12">
        <f>1/(1+EXP(($E18-len)/2.5))</f>
        <v>0.99766863984790277</v>
      </c>
      <c r="AE12">
        <f>1/(1+EXP(($E18-len)/2.5))</f>
        <v>0.99786451513138141</v>
      </c>
      <c r="AF12">
        <f>1/(1+EXP(($E18-len)/2.5))</f>
        <v>0.99800906271781975</v>
      </c>
      <c r="AG12">
        <f>1/(1+EXP(($E18-len)/2.5))</f>
        <v>0.99811744125747615</v>
      </c>
      <c r="AH12">
        <f>1/(1+EXP(($E18-len)/2.5))</f>
        <v>0.99819973880010859</v>
      </c>
      <c r="AI12">
        <f>1/(1+EXP(($E18-len)/2.5))</f>
        <v>0.99826286813593224</v>
      </c>
    </row>
    <row r="13" spans="1:35">
      <c r="A13" s="5">
        <v>3</v>
      </c>
      <c r="B13" s="25">
        <f>1-SUM(B11:B12)</f>
        <v>0.33333999999999997</v>
      </c>
      <c r="C13" s="18">
        <f>$C36</f>
        <v>0.33334001110454831</v>
      </c>
    </row>
    <row r="14" spans="1:35">
      <c r="A14" s="27" t="s">
        <v>49</v>
      </c>
      <c r="B14" s="30">
        <v>0.4</v>
      </c>
      <c r="C14" s="29">
        <f>spr</f>
        <v>0.39999998979865592</v>
      </c>
    </row>
    <row r="15" spans="1:35">
      <c r="A15" s="5"/>
      <c r="B15" s="26" t="s">
        <v>50</v>
      </c>
      <c r="C15" s="26">
        <f>SUMXMY2(B11:B14,C11:C14)</f>
        <v>2.6198301292943236E-14</v>
      </c>
    </row>
    <row r="17" spans="1:35">
      <c r="A17" s="13" t="s">
        <v>4</v>
      </c>
      <c r="B17" s="13"/>
      <c r="C17" s="13"/>
      <c r="E17" t="s">
        <v>83</v>
      </c>
      <c r="F17" t="s">
        <v>84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82</v>
      </c>
      <c r="F18">
        <v>0.16</v>
      </c>
      <c r="G18" s="3">
        <v>5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7.2652944388434264E-6</v>
      </c>
      <c r="L18" s="4">
        <f>((EXP(g*(ah-age)/gh)/(1+EXP((ah-age)/gh))) *(1/(1-g))*((1-g)/g)^g) *(sr+(1-sr)*dmr)</f>
        <v>8.8462288061508167E-5</v>
      </c>
      <c r="M18" s="4">
        <f>((EXP(g*(ah-age)/gh)/(1+EXP((ah-age)/gh))) *(1/(1-g))*((1-g)/g)^g) *(sr+(1-sr)*dmr)</f>
        <v>1.0710513189880126E-3</v>
      </c>
      <c r="N18" s="4">
        <f>((EXP(g*(ah-age)/gh)/(1+EXP((ah-age)/gh))) *(1/(1-g))*((1-g)/g)^g) *(sr+(1-sr)*dmr)</f>
        <v>1.2143993275266399E-2</v>
      </c>
      <c r="O18" s="4">
        <f>((EXP(g*(ah-age)/gh)/(1+EXP((ah-age)/gh))) *(1/(1-g))*((1-g)/g)^g) *(sr+(1-sr)*dmr)</f>
        <v>8.080980179978986E-2</v>
      </c>
      <c r="P18" s="4">
        <f>((EXP(g*(ah-age)/gh)/(1+EXP((ah-age)/gh))) *(1/(1-g))*((1-g)/g)^g) *(sr+(1-sr)*dmr)</f>
        <v>0.16676516839952416</v>
      </c>
      <c r="Q18" s="4">
        <f>((EXP(g*(ah-age)/gh)/(1+EXP((ah-age)/gh))) *(1/(1-g))*((1-g)/g)^g) *(sr+(1-sr)*dmr)</f>
        <v>0.29462633480883599</v>
      </c>
      <c r="R18" s="4">
        <f>((EXP(g*(ah-age)/gh)/(1+EXP((ah-age)/gh))) *(1/(1-g))*((1-g)/g)^g) *(sr+(1-sr)*dmr)</f>
        <v>0.57970844798563714</v>
      </c>
      <c r="S18" s="4">
        <f>((EXP(g*(ah-age)/gh)/(1+EXP((ah-age)/gh))) *(1/(1-g))*((1-g)/g)^g) *(sr+(1-sr)*dmr)</f>
        <v>0.82131701849586347</v>
      </c>
      <c r="T18" s="4">
        <f>((EXP(g*(ah-age)/gh)/(1+EXP((ah-age)/gh))) *(1/(1-g))*((1-g)/g)^g) *(sr+(1-sr)*dmr)</f>
        <v>0.92711389728575633</v>
      </c>
      <c r="U18" s="4">
        <f>((EXP(g*(ah-age)/gh)/(1+EXP((ah-age)/gh))) *(1/(1-g))*((1-g)/g)^g) *(sr+(1-sr)*dmr)</f>
        <v>0.96670383893409162</v>
      </c>
      <c r="V18" s="4">
        <f>((EXP(g*(ah-age)/gh)/(1+EXP((ah-age)/gh))) *(1/(1-g))*((1-g)/g)^g) *(sr+(1-sr)*dmr)</f>
        <v>0.98252759253581201</v>
      </c>
      <c r="W18" s="4">
        <f>((EXP(g*(ah-age)/gh)/(1+EXP((ah-age)/gh))) *(1/(1-g))*((1-g)/g)^g) *(sr+(1-sr)*dmr)</f>
        <v>0.98960351287686554</v>
      </c>
      <c r="X18" s="4">
        <f>((EXP(g*(ah-age)/gh)/(1+EXP((ah-age)/gh))) *(1/(1-g))*((1-g)/g)^g) *(sr+(1-sr)*dmr)</f>
        <v>0.99312273717911248</v>
      </c>
      <c r="Y18" s="4">
        <f>((EXP(g*(ah-age)/gh)/(1+EXP((ah-age)/gh))) *(1/(1-g))*((1-g)/g)^g) *(sr+(1-sr)*dmr)</f>
        <v>0.99503658893298308</v>
      </c>
      <c r="Z18" s="4">
        <f>((EXP(g*(ah-age)/gh)/(1+EXP((ah-age)/gh))) *(1/(1-g))*((1-g)/g)^g) *(sr+(1-sr)*dmr)</f>
        <v>0.99615492427162566</v>
      </c>
      <c r="AA18" s="4">
        <f>((EXP(g*(ah-age)/gh)/(1+EXP((ah-age)/gh))) *(1/(1-g))*((1-g)/g)^g) *(sr+(1-sr)*dmr)</f>
        <v>0.99684629457111096</v>
      </c>
      <c r="AB18" s="4">
        <f>((EXP(g*(ah-age)/gh)/(1+EXP((ah-age)/gh))) *(1/(1-g))*((1-g)/g)^g) *(sr+(1-sr)*dmr)</f>
        <v>0.99729254011791779</v>
      </c>
      <c r="AC18" s="4">
        <f>((EXP(g*(ah-age)/gh)/(1+EXP((ah-age)/gh))) *(1/(1-g))*((1-g)/g)^g) *(sr+(1-sr)*dmr)</f>
        <v>0.99758986237681757</v>
      </c>
      <c r="AD18" s="4">
        <f>((EXP(g*(ah-age)/gh)/(1+EXP((ah-age)/gh))) *(1/(1-g))*((1-g)/g)^g) *(sr+(1-sr)*dmr)</f>
        <v>0.99779230716347</v>
      </c>
      <c r="AE18" s="4">
        <f>((EXP(g*(ah-age)/gh)/(1+EXP((ah-age)/gh))) *(1/(1-g))*((1-g)/g)^g) *(sr+(1-sr)*dmr)</f>
        <v>0.99793185268600393</v>
      </c>
      <c r="AF18" s="4">
        <f>((EXP(g*(ah-age)/gh)/(1+EXP((ah-age)/gh))) *(1/(1-g))*((1-g)/g)^g) *(sr+(1-sr)*dmr)</f>
        <v>0.9980282882693009</v>
      </c>
      <c r="AG18" s="4">
        <f>((EXP(g*(ah-age)/gh)/(1+EXP((ah-age)/gh))) *(1/(1-g))*((1-g)/g)^g) *(sr+(1-sr)*dmr)</f>
        <v>0.99809434627651172</v>
      </c>
      <c r="AH18" s="4">
        <f>((EXP(g*(ah-age)/gh)/(1+EXP((ah-age)/gh))) *(1/(1-g))*((1-g)/g)^g) *(sr+(1-sr)*dmr)</f>
        <v>0.99813849998325277</v>
      </c>
      <c r="AI18" s="4">
        <f>((EXP(g*(ah-age)/gh)/(1+EXP((ah-age)/gh))) *(1/(1-g))*((1-g)/g)^g) *(sr+(1-sr)*dmr)</f>
        <v>0.99816655559959722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3</v>
      </c>
      <c r="H19" s="3">
        <v>0.4</v>
      </c>
      <c r="I19" s="7">
        <v>0.2</v>
      </c>
      <c r="J19" s="8" t="s">
        <v>17</v>
      </c>
      <c r="K19" s="4">
        <f t="shared" ref="K18:T20" si="5">(EXP(g*(ah-age)/gh)/(1+EXP((ah-age)/gh))) *(1/(1-g))*((1-g)/g)^g</f>
        <v>3.0007350071316975E-2</v>
      </c>
      <c r="L19" s="4">
        <f t="shared" si="5"/>
        <v>0.20628691029874971</v>
      </c>
      <c r="M19" s="4">
        <f t="shared" si="5"/>
        <v>0.82469244423305887</v>
      </c>
      <c r="N19" s="4">
        <f t="shared" si="5"/>
        <v>0.92451379123971533</v>
      </c>
      <c r="O19" s="4">
        <f t="shared" si="5"/>
        <v>0.60271373782445525</v>
      </c>
      <c r="P19" s="4">
        <f t="shared" si="5"/>
        <v>0.36782407656213434</v>
      </c>
      <c r="Q19" s="4">
        <f t="shared" si="5"/>
        <v>0.22320983733581354</v>
      </c>
      <c r="R19" s="4">
        <f t="shared" si="5"/>
        <v>0.13538925175123626</v>
      </c>
      <c r="S19" s="4">
        <f t="shared" si="5"/>
        <v>8.2118013086893454E-2</v>
      </c>
      <c r="T19" s="4">
        <f t="shared" si="5"/>
        <v>4.9807106637333357E-2</v>
      </c>
      <c r="U19" s="4">
        <f t="shared" ref="U18:AI20" si="6">(EXP(g*(ah-age)/gh)/(1+EXP((ah-age)/gh))) *(1/(1-g))*((1-g)/g)^g</f>
        <v>3.0209537943414012E-2</v>
      </c>
      <c r="V19" s="4">
        <f t="shared" si="6"/>
        <v>1.8323011013099209E-2</v>
      </c>
      <c r="W19" s="4">
        <f t="shared" si="6"/>
        <v>1.1113467959422852E-2</v>
      </c>
      <c r="X19" s="4">
        <f t="shared" si="6"/>
        <v>6.7406590532098857E-3</v>
      </c>
      <c r="Y19" s="4">
        <f t="shared" si="6"/>
        <v>4.0884163824456031E-3</v>
      </c>
      <c r="Z19" s="4">
        <f t="shared" si="6"/>
        <v>2.479749885624884E-3</v>
      </c>
      <c r="AA19" s="4">
        <f t="shared" si="6"/>
        <v>1.5040443340503991E-3</v>
      </c>
      <c r="AB19" s="4">
        <f t="shared" si="6"/>
        <v>9.1224900216863752E-4</v>
      </c>
      <c r="AC19" s="4">
        <f t="shared" si="6"/>
        <v>5.5330698910753529E-4</v>
      </c>
      <c r="AD19" s="4">
        <f t="shared" si="6"/>
        <v>3.3559765312700423E-4</v>
      </c>
      <c r="AE19" s="4">
        <f t="shared" si="6"/>
        <v>2.0355026594913339E-4</v>
      </c>
      <c r="AF19" s="4">
        <f t="shared" si="6"/>
        <v>1.2345947709080986E-4</v>
      </c>
      <c r="AG19" s="4">
        <f t="shared" si="6"/>
        <v>7.4881958087665658E-5</v>
      </c>
      <c r="AH19" s="4">
        <f t="shared" si="6"/>
        <v>4.5418203439485613E-5</v>
      </c>
      <c r="AI19" s="4">
        <f t="shared" si="6"/>
        <v>2.7547532895113808E-5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5</v>
      </c>
      <c r="H20" s="3">
        <v>0.4</v>
      </c>
      <c r="I20" s="7">
        <v>1.0000000000000001E-5</v>
      </c>
      <c r="J20" s="8" t="s">
        <v>18</v>
      </c>
      <c r="K20" s="4">
        <f t="shared" si="5"/>
        <v>4.5408090239048184E-5</v>
      </c>
      <c r="L20" s="4">
        <f t="shared" si="5"/>
        <v>5.5288927514315434E-4</v>
      </c>
      <c r="M20" s="4">
        <f t="shared" si="5"/>
        <v>6.6940231405857222E-3</v>
      </c>
      <c r="N20" s="4">
        <f t="shared" si="5"/>
        <v>7.5869569404394432E-2</v>
      </c>
      <c r="O20" s="4">
        <f t="shared" si="5"/>
        <v>0.50006256851681752</v>
      </c>
      <c r="P20" s="4">
        <f t="shared" si="5"/>
        <v>0.92423435819698607</v>
      </c>
      <c r="Q20" s="4">
        <f t="shared" si="5"/>
        <v>0.99338177825517815</v>
      </c>
      <c r="R20" s="4">
        <f t="shared" si="5"/>
        <v>0.9994973241131675</v>
      </c>
      <c r="S20" s="4">
        <f t="shared" si="5"/>
        <v>0.99997973051086153</v>
      </c>
      <c r="T20" s="4">
        <f t="shared" si="5"/>
        <v>0.99999640256489231</v>
      </c>
      <c r="U20" s="4">
        <f t="shared" si="6"/>
        <v>0.99997482361930601</v>
      </c>
      <c r="V20" s="4">
        <f t="shared" si="6"/>
        <v>0.99995010533943818</v>
      </c>
      <c r="W20" s="4">
        <f t="shared" si="6"/>
        <v>0.99992512994639815</v>
      </c>
      <c r="X20" s="4">
        <f t="shared" si="6"/>
        <v>0.99990013402239852</v>
      </c>
      <c r="Y20" s="4">
        <f t="shared" si="6"/>
        <v>0.99987513698679642</v>
      </c>
      <c r="Z20" s="4">
        <f t="shared" si="6"/>
        <v>0.99985014043357634</v>
      </c>
      <c r="AA20" s="4">
        <f t="shared" si="6"/>
        <v>0.9998251444935623</v>
      </c>
      <c r="AB20" s="4">
        <f t="shared" si="6"/>
        <v>0.99980014917747839</v>
      </c>
      <c r="AC20" s="4">
        <f t="shared" si="6"/>
        <v>0.99977515448619114</v>
      </c>
      <c r="AD20" s="4">
        <f t="shared" si="6"/>
        <v>0.99975016041975662</v>
      </c>
      <c r="AE20" s="4">
        <f t="shared" si="6"/>
        <v>0.9997251669781656</v>
      </c>
      <c r="AF20" s="4">
        <f t="shared" si="6"/>
        <v>0.99970017416140255</v>
      </c>
      <c r="AG20" s="4">
        <f t="shared" si="6"/>
        <v>0.99967518196945226</v>
      </c>
      <c r="AH20" s="4">
        <f t="shared" si="6"/>
        <v>0.99965019040229885</v>
      </c>
      <c r="AI20" s="4">
        <f t="shared" si="6"/>
        <v>0.99962519945992701</v>
      </c>
    </row>
    <row r="21" spans="1:35">
      <c r="A21" t="s">
        <v>42</v>
      </c>
      <c r="B21" s="1">
        <f>Bo/phie</f>
        <v>8.2438682882849061</v>
      </c>
      <c r="J21" s="2" t="s">
        <v>72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81</v>
      </c>
      <c r="B22" s="1">
        <v>98.238757374230488</v>
      </c>
      <c r="J22" s="8" t="s">
        <v>23</v>
      </c>
      <c r="K22" s="1">
        <f t="shared" ref="K22:AI22" si="7">wa*flt1_*(1-EXP(-za))/za</f>
        <v>5.2290020791317078E-7</v>
      </c>
      <c r="L22" s="1">
        <f t="shared" si="7"/>
        <v>3.6920372546282119E-5</v>
      </c>
      <c r="M22" s="1">
        <f t="shared" si="7"/>
        <v>1.0983620059477007E-3</v>
      </c>
      <c r="N22" s="1">
        <f t="shared" si="7"/>
        <v>2.1938164713962566E-2</v>
      </c>
      <c r="O22" s="1">
        <f t="shared" si="7"/>
        <v>0.21462887139252881</v>
      </c>
      <c r="P22" s="1">
        <f t="shared" si="7"/>
        <v>0.58185115363647832</v>
      </c>
      <c r="Q22" s="1">
        <f t="shared" si="7"/>
        <v>1.2588175346368473</v>
      </c>
      <c r="R22" s="1">
        <f t="shared" si="7"/>
        <v>2.8712528329964999</v>
      </c>
      <c r="S22" s="1">
        <f t="shared" si="7"/>
        <v>4.5498991129489008</v>
      </c>
      <c r="T22" s="1">
        <f t="shared" si="7"/>
        <v>5.6103368249002683</v>
      </c>
      <c r="U22" s="1">
        <f t="shared" si="7"/>
        <v>6.2721709036127908</v>
      </c>
      <c r="V22" s="1">
        <f t="shared" si="7"/>
        <v>6.7341867424669246</v>
      </c>
      <c r="W22" s="1">
        <f t="shared" si="7"/>
        <v>7.0819794560458593</v>
      </c>
      <c r="X22" s="1">
        <f t="shared" si="7"/>
        <v>7.3534737431210937</v>
      </c>
      <c r="Y22" s="1">
        <f t="shared" si="7"/>
        <v>7.5688131043567184</v>
      </c>
      <c r="Z22" s="1">
        <f t="shared" si="7"/>
        <v>7.7407565701045238</v>
      </c>
      <c r="AA22" s="1">
        <f t="shared" si="7"/>
        <v>7.8784008986592111</v>
      </c>
      <c r="AB22" s="1">
        <f t="shared" si="7"/>
        <v>7.9886673921822871</v>
      </c>
      <c r="AC22" s="1">
        <f t="shared" si="7"/>
        <v>8.0769932856485163</v>
      </c>
      <c r="AD22" s="1">
        <f t="shared" si="7"/>
        <v>8.1477130400572992</v>
      </c>
      <c r="AE22" s="1">
        <f t="shared" si="7"/>
        <v>8.2043034287023833</v>
      </c>
      <c r="AF22" s="1">
        <f t="shared" si="7"/>
        <v>8.2495592833775238</v>
      </c>
      <c r="AG22" s="1">
        <f t="shared" si="7"/>
        <v>8.285727948057712</v>
      </c>
      <c r="AH22" s="1">
        <f t="shared" si="7"/>
        <v>8.3146156394944022</v>
      </c>
      <c r="AI22" s="1">
        <f t="shared" si="7"/>
        <v>8.3376728896662371</v>
      </c>
    </row>
    <row r="23" spans="1:35">
      <c r="A23" t="s">
        <v>82</v>
      </c>
      <c r="B23" s="1">
        <f>1.5*M</f>
        <v>0.22499999999999998</v>
      </c>
      <c r="J23" s="8" t="s">
        <v>24</v>
      </c>
      <c r="K23" s="1">
        <f t="shared" ref="K23:AI23" si="8">wa*flt2_*(1-EXP(-za))/za</f>
        <v>2.1596990628934233E-3</v>
      </c>
      <c r="L23" s="1">
        <f t="shared" si="8"/>
        <v>8.6095326568489311E-2</v>
      </c>
      <c r="M23" s="1">
        <f t="shared" si="8"/>
        <v>0.84572123788951037</v>
      </c>
      <c r="N23" s="1">
        <f t="shared" si="8"/>
        <v>1.67013727468504</v>
      </c>
      <c r="O23" s="1">
        <f t="shared" si="8"/>
        <v>1.6007930528344858</v>
      </c>
      <c r="P23" s="1">
        <f t="shared" si="8"/>
        <v>1.2833547037245752</v>
      </c>
      <c r="Q23" s="1">
        <f t="shared" si="8"/>
        <v>0.95368412102085387</v>
      </c>
      <c r="R23" s="1">
        <f t="shared" si="8"/>
        <v>0.67057289573541767</v>
      </c>
      <c r="S23" s="1">
        <f t="shared" si="8"/>
        <v>0.45491407883576507</v>
      </c>
      <c r="T23" s="1">
        <f t="shared" si="8"/>
        <v>0.30140271365497412</v>
      </c>
      <c r="U23" s="1">
        <f t="shared" si="8"/>
        <v>0.19600561957961396</v>
      </c>
      <c r="V23" s="1">
        <f t="shared" si="8"/>
        <v>0.12558484747286192</v>
      </c>
      <c r="W23" s="1">
        <f t="shared" si="8"/>
        <v>7.9532207343578507E-2</v>
      </c>
      <c r="X23" s="1">
        <f t="shared" si="8"/>
        <v>4.991050703350354E-2</v>
      </c>
      <c r="Y23" s="1">
        <f t="shared" si="8"/>
        <v>3.1098815697525189E-2</v>
      </c>
      <c r="Z23" s="1">
        <f t="shared" si="8"/>
        <v>1.9269231875154336E-2</v>
      </c>
      <c r="AA23" s="1">
        <f t="shared" si="8"/>
        <v>1.188695217862463E-2</v>
      </c>
      <c r="AB23" s="1">
        <f t="shared" si="8"/>
        <v>7.3074384536294095E-3</v>
      </c>
      <c r="AC23" s="1">
        <f t="shared" si="8"/>
        <v>4.4798539003555668E-3</v>
      </c>
      <c r="AD23" s="1">
        <f t="shared" si="8"/>
        <v>2.7404033434260031E-3</v>
      </c>
      <c r="AE23" s="1">
        <f t="shared" si="8"/>
        <v>1.6734490840680815E-3</v>
      </c>
      <c r="AF23" s="1">
        <f t="shared" si="8"/>
        <v>1.0204984040298106E-3</v>
      </c>
      <c r="AG23" s="1">
        <f t="shared" si="8"/>
        <v>6.2163615618795196E-4</v>
      </c>
      <c r="AH23" s="1">
        <f t="shared" si="8"/>
        <v>3.7833918303123432E-4</v>
      </c>
      <c r="AI23" s="1">
        <f t="shared" si="8"/>
        <v>2.3010420145644874E-4</v>
      </c>
    </row>
    <row r="24" spans="1:35">
      <c r="B24" s="1"/>
      <c r="J24" s="8" t="s">
        <v>25</v>
      </c>
      <c r="K24" s="1">
        <f t="shared" ref="K24:AI24" si="9">wa*flt3_*(1-EXP(-za))/za</f>
        <v>3.2681262991893478E-6</v>
      </c>
      <c r="L24" s="1">
        <f t="shared" si="9"/>
        <v>2.3075231787963681E-4</v>
      </c>
      <c r="M24" s="1">
        <f t="shared" si="9"/>
        <v>6.8647137202548477E-3</v>
      </c>
      <c r="N24" s="1">
        <f t="shared" si="9"/>
        <v>0.13705863241549826</v>
      </c>
      <c r="O24" s="1">
        <f t="shared" si="9"/>
        <v>1.3281540396834972</v>
      </c>
      <c r="P24" s="1">
        <f t="shared" si="9"/>
        <v>3.2246951369307695</v>
      </c>
      <c r="Q24" s="1">
        <f t="shared" si="9"/>
        <v>4.2443130613823463</v>
      </c>
      <c r="R24" s="1">
        <f t="shared" si="9"/>
        <v>4.9504359189594833</v>
      </c>
      <c r="S24" s="1">
        <f t="shared" si="9"/>
        <v>5.5396476468375591</v>
      </c>
      <c r="T24" s="1">
        <f t="shared" si="9"/>
        <v>6.0513780005914297</v>
      </c>
      <c r="U24" s="1">
        <f t="shared" si="9"/>
        <v>6.4880398116200713</v>
      </c>
      <c r="V24" s="1">
        <f t="shared" si="9"/>
        <v>6.8535996277985536</v>
      </c>
      <c r="W24" s="1">
        <f t="shared" si="9"/>
        <v>7.1558448769830809</v>
      </c>
      <c r="X24" s="1">
        <f t="shared" si="9"/>
        <v>7.4036562712901439</v>
      </c>
      <c r="Y24" s="1">
        <f t="shared" si="9"/>
        <v>7.6056178473411276</v>
      </c>
      <c r="Z24" s="1">
        <f t="shared" si="9"/>
        <v>7.7694707470730213</v>
      </c>
      <c r="AA24" s="1">
        <f t="shared" si="9"/>
        <v>7.9019437196877123</v>
      </c>
      <c r="AB24" s="1">
        <f t="shared" si="9"/>
        <v>8.0087542312195925</v>
      </c>
      <c r="AC24" s="1">
        <f t="shared" si="9"/>
        <v>8.094686518469203</v>
      </c>
      <c r="AD24" s="1">
        <f t="shared" si="9"/>
        <v>8.1637003616594424</v>
      </c>
      <c r="AE24" s="1">
        <f t="shared" si="9"/>
        <v>8.2190468147926481</v>
      </c>
      <c r="AF24" s="1">
        <f t="shared" si="9"/>
        <v>8.2633788533677208</v>
      </c>
      <c r="AG24" s="1">
        <f t="shared" si="9"/>
        <v>8.2988513311638776</v>
      </c>
      <c r="AH24" s="1">
        <f t="shared" si="9"/>
        <v>8.3272082053562393</v>
      </c>
      <c r="AI24" s="1">
        <f t="shared" si="9"/>
        <v>8.3498569237853175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6.74295024756614E-6</v>
      </c>
      <c r="L26">
        <f t="shared" ref="K26:AI26" si="10">qa1_/wa</f>
        <v>8.1837836501651065E-5</v>
      </c>
      <c r="M26">
        <f t="shared" si="10"/>
        <v>9.7964240743102921E-4</v>
      </c>
      <c r="N26">
        <f t="shared" si="10"/>
        <v>1.1072417971648815E-2</v>
      </c>
      <c r="O26">
        <f t="shared" si="10"/>
        <v>7.3494968488808529E-2</v>
      </c>
      <c r="P26">
        <f t="shared" si="10"/>
        <v>0.1509840976748596</v>
      </c>
      <c r="Q26">
        <f t="shared" si="10"/>
        <v>0.26626068778348488</v>
      </c>
      <c r="R26">
        <f t="shared" si="10"/>
        <v>0.5207507205707439</v>
      </c>
      <c r="S26">
        <f t="shared" si="10"/>
        <v>0.73381193108576348</v>
      </c>
      <c r="T26">
        <f t="shared" si="10"/>
        <v>0.82651843259794799</v>
      </c>
      <c r="U26">
        <f t="shared" si="10"/>
        <v>0.86122124157695645</v>
      </c>
      <c r="V26">
        <f t="shared" si="10"/>
        <v>0.87514227149107704</v>
      </c>
      <c r="W26">
        <f t="shared" si="10"/>
        <v>0.8813957440375938</v>
      </c>
      <c r="X26">
        <f t="shared" si="10"/>
        <v>0.88451835354233987</v>
      </c>
      <c r="Y26">
        <f t="shared" si="10"/>
        <v>0.88622100451187591</v>
      </c>
      <c r="Z26">
        <f t="shared" si="10"/>
        <v>0.88721700374605605</v>
      </c>
      <c r="AA26">
        <f t="shared" si="10"/>
        <v>0.88783257324609255</v>
      </c>
      <c r="AB26">
        <f t="shared" si="10"/>
        <v>0.88822940635470438</v>
      </c>
      <c r="AC26">
        <f t="shared" si="10"/>
        <v>0.88849335406991548</v>
      </c>
      <c r="AD26">
        <f t="shared" si="10"/>
        <v>0.88867275552665903</v>
      </c>
      <c r="AE26">
        <f t="shared" si="10"/>
        <v>0.88879623423048315</v>
      </c>
      <c r="AF26">
        <f t="shared" si="10"/>
        <v>0.88888149260311311</v>
      </c>
      <c r="AG26">
        <f t="shared" si="10"/>
        <v>0.88893990044415072</v>
      </c>
      <c r="AH26">
        <f t="shared" si="10"/>
        <v>0.88897900497397753</v>
      </c>
      <c r="AI26">
        <f t="shared" si="10"/>
        <v>0.88900396221757672</v>
      </c>
    </row>
    <row r="27" spans="1:35">
      <c r="A27" t="s">
        <v>14</v>
      </c>
      <c r="B27" s="28">
        <v>5.4647652312432703E-2</v>
      </c>
      <c r="J27" s="8" t="s">
        <v>31</v>
      </c>
      <c r="K27">
        <f t="shared" ref="K27:AI27" si="11">qa2_/wa</f>
        <v>2.78499474860101E-2</v>
      </c>
      <c r="L27">
        <f t="shared" si="11"/>
        <v>0.19083922434519965</v>
      </c>
      <c r="M27">
        <f t="shared" si="11"/>
        <v>0.75430903929235138</v>
      </c>
      <c r="N27">
        <f t="shared" si="11"/>
        <v>0.84293550606690759</v>
      </c>
      <c r="O27">
        <f t="shared" si="11"/>
        <v>0.54815661197792387</v>
      </c>
      <c r="P27">
        <f t="shared" si="11"/>
        <v>0.33301670148393409</v>
      </c>
      <c r="Q27">
        <f t="shared" si="11"/>
        <v>0.20171993398904786</v>
      </c>
      <c r="R27">
        <f t="shared" si="11"/>
        <v>0.12161984296067554</v>
      </c>
      <c r="S27">
        <f t="shared" si="11"/>
        <v>7.3368962779532101E-2</v>
      </c>
      <c r="T27">
        <f t="shared" si="11"/>
        <v>4.4402841798238328E-2</v>
      </c>
      <c r="U27">
        <f t="shared" si="11"/>
        <v>2.6913202086566865E-2</v>
      </c>
      <c r="V27">
        <f t="shared" si="11"/>
        <v>1.632039812456992E-2</v>
      </c>
      <c r="W27">
        <f t="shared" si="11"/>
        <v>9.8982706038072462E-3</v>
      </c>
      <c r="X27">
        <f t="shared" si="11"/>
        <v>6.0035244631199787E-3</v>
      </c>
      <c r="Y27">
        <f t="shared" si="11"/>
        <v>3.6413138105796652E-3</v>
      </c>
      <c r="Z27">
        <f t="shared" si="11"/>
        <v>2.2085683762215996E-3</v>
      </c>
      <c r="AA27">
        <f t="shared" si="11"/>
        <v>1.3395641420834046E-3</v>
      </c>
      <c r="AB27">
        <f t="shared" si="11"/>
        <v>8.1248616333589913E-4</v>
      </c>
      <c r="AC27">
        <f t="shared" si="11"/>
        <v>4.9279729187623358E-4</v>
      </c>
      <c r="AD27">
        <f t="shared" si="11"/>
        <v>2.9889636251103523E-4</v>
      </c>
      <c r="AE27">
        <f t="shared" si="11"/>
        <v>1.8128964354154886E-4</v>
      </c>
      <c r="AF27">
        <f t="shared" si="11"/>
        <v>1.0995764905900868E-4</v>
      </c>
      <c r="AG27">
        <f t="shared" si="11"/>
        <v>6.6692653470928754E-5</v>
      </c>
      <c r="AH27">
        <f t="shared" si="11"/>
        <v>4.0451129078797235E-5</v>
      </c>
      <c r="AI27">
        <f t="shared" si="11"/>
        <v>2.4534849174909673E-5</v>
      </c>
    </row>
    <row r="28" spans="1:35">
      <c r="A28" t="s">
        <v>15</v>
      </c>
      <c r="B28" s="28">
        <v>3.7443720663791223E-2</v>
      </c>
      <c r="J28" s="8" t="s">
        <v>32</v>
      </c>
      <c r="K28">
        <f t="shared" ref="K28:AI28" si="12">qa3_/wa</f>
        <v>4.2143439043832831E-5</v>
      </c>
      <c r="L28">
        <f t="shared" si="12"/>
        <v>5.1148645478422668E-4</v>
      </c>
      <c r="M28">
        <f t="shared" si="12"/>
        <v>6.1227215060418701E-3</v>
      </c>
      <c r="N28">
        <f t="shared" si="12"/>
        <v>6.9174905217167626E-2</v>
      </c>
      <c r="O28">
        <f t="shared" si="12"/>
        <v>0.4547973376624681</v>
      </c>
      <c r="P28">
        <f t="shared" si="12"/>
        <v>0.83677360177614324</v>
      </c>
      <c r="Q28">
        <f t="shared" si="12"/>
        <v>0.89774227304365395</v>
      </c>
      <c r="R28">
        <f t="shared" si="12"/>
        <v>0.89784606994955862</v>
      </c>
      <c r="S28">
        <f t="shared" si="12"/>
        <v>0.89343948873317114</v>
      </c>
      <c r="T28">
        <f t="shared" si="12"/>
        <v>0.8914929025131112</v>
      </c>
      <c r="U28">
        <f t="shared" si="12"/>
        <v>0.89086183840202171</v>
      </c>
      <c r="V28">
        <f t="shared" si="12"/>
        <v>0.89066059132848363</v>
      </c>
      <c r="W28">
        <f t="shared" si="12"/>
        <v>0.89058874834517232</v>
      </c>
      <c r="X28">
        <f t="shared" si="12"/>
        <v>0.89055459828098504</v>
      </c>
      <c r="Y28">
        <f t="shared" si="12"/>
        <v>0.8905304168132141</v>
      </c>
      <c r="Z28">
        <f t="shared" si="12"/>
        <v>0.89050811693690535</v>
      </c>
      <c r="AA28">
        <f t="shared" si="12"/>
        <v>0.89048566029307985</v>
      </c>
      <c r="AB28">
        <f t="shared" si="12"/>
        <v>0.89046278524479405</v>
      </c>
      <c r="AC28">
        <f t="shared" si="12"/>
        <v>0.8904396624568649</v>
      </c>
      <c r="AD28">
        <f t="shared" si="12"/>
        <v>0.89041649601823225</v>
      </c>
      <c r="AE28">
        <f t="shared" si="12"/>
        <v>0.89039342845308966</v>
      </c>
      <c r="AF28">
        <f t="shared" si="12"/>
        <v>0.8903705369966447</v>
      </c>
      <c r="AG28">
        <f t="shared" si="12"/>
        <v>0.89034785143469952</v>
      </c>
      <c r="AH28">
        <f t="shared" si="12"/>
        <v>0.89032537228129494</v>
      </c>
      <c r="AI28">
        <f t="shared" si="12"/>
        <v>0.89030308425690274</v>
      </c>
    </row>
    <row r="29" spans="1:35">
      <c r="A29" t="s">
        <v>19</v>
      </c>
      <c r="B29" s="28">
        <v>3.1750810347871743E-2</v>
      </c>
    </row>
    <row r="30" spans="1:35">
      <c r="G30" t="s">
        <v>58</v>
      </c>
      <c r="H30" t="s">
        <v>59</v>
      </c>
      <c r="J30" s="2" t="s">
        <v>51</v>
      </c>
    </row>
    <row r="31" spans="1:35">
      <c r="A31" s="12" t="s">
        <v>22</v>
      </c>
      <c r="B31" s="12"/>
      <c r="C31" s="12"/>
      <c r="G31">
        <f>SUMPRODUCT(dlz1_,wa,ma)</f>
        <v>-33.027820942948772</v>
      </c>
      <c r="H31">
        <f>Ro/(reck-1)*phie/phif^2*dphif</f>
        <v>-12.753499360411233</v>
      </c>
      <c r="J31" s="8" t="s">
        <v>52</v>
      </c>
      <c r="K31">
        <v>0</v>
      </c>
      <c r="L31">
        <f>K31*sa-K$7*K18*K$10</f>
        <v>-6.2462632128205121E-6</v>
      </c>
      <c r="M31">
        <f>L31*sa-L$7*L18*L$10</f>
        <v>-7.0166944766584117E-5</v>
      </c>
      <c r="N31">
        <f>M31*sa-M$7*M18*M$10</f>
        <v>-7.1429888690022572E-4</v>
      </c>
      <c r="O31">
        <f>N31*sa-N$7*N18*N$10</f>
        <v>-6.7554519145041556E-3</v>
      </c>
      <c r="P31">
        <f>O31*sa-O$7*O18*O$10</f>
        <v>-3.9354544146756654E-2</v>
      </c>
      <c r="Q31">
        <f>P31*sa-P$7*P18*P$10</f>
        <v>-8.9069710040988459E-2</v>
      </c>
      <c r="R31">
        <f>Q31*sa-Q$7*Q18*Q$10</f>
        <v>-0.15360370044030988</v>
      </c>
      <c r="S31">
        <f>R31*sa-R$7*R18*R$10</f>
        <v>-0.25178064687699353</v>
      </c>
      <c r="T31">
        <f>S31*sa-S$7*S18*S$10</f>
        <v>-0.34523850859779992</v>
      </c>
      <c r="U31">
        <f>T31*sa-T$7*T18*T$10</f>
        <v>-0.40316721361481128</v>
      </c>
      <c r="V31">
        <f>U31*sa-U$7*U18*U$10</f>
        <v>-0.42581008653841151</v>
      </c>
      <c r="W31">
        <f>V31*sa-V$7*V18*V$10</f>
        <v>-0.4224442092982118</v>
      </c>
      <c r="X31">
        <f>W31*sa-W$7*W18*W$10</f>
        <v>-0.40212385220282448</v>
      </c>
      <c r="Y31">
        <f>X31*sa-X$7*X18*X$10</f>
        <v>-0.37183993812692295</v>
      </c>
      <c r="Z31">
        <f>Y31*sa-Y$7*Y18*Y$10</f>
        <v>-0.33657678587518658</v>
      </c>
      <c r="AA31">
        <f>Z31*sa-Z$7*Z18*Z$10</f>
        <v>-0.29972648990066414</v>
      </c>
      <c r="AB31">
        <f>AA31*sa-AA$7*AA18*AA$10</f>
        <v>-0.26349886369399822</v>
      </c>
      <c r="AC31">
        <f>AB31*sa-AB$7*AB18*AB$10</f>
        <v>-0.22925445302711864</v>
      </c>
      <c r="AD31">
        <f>AC31*sa-AC$7*AC18*AC$10</f>
        <v>-0.19775836336424019</v>
      </c>
      <c r="AE31">
        <f>AD31*sa-AD$7*AD18*AD$10</f>
        <v>-0.16936812542298019</v>
      </c>
      <c r="AF31">
        <f>AE31*sa-AE$7*AE18*AE$10</f>
        <v>-0.14417020383327686</v>
      </c>
      <c r="AG31">
        <f>AF31*sa-AF$7*AF18*AF$10</f>
        <v>-0.12207769552748728</v>
      </c>
      <c r="AH31">
        <f>AG31*sa-AG$7*AG18*AG$10</f>
        <v>-0.10289919093208803</v>
      </c>
      <c r="AI31">
        <f>(AH31*sa-AH$7*AH18*AH$10)/oa-AH$7*AH$10*flt1_*sa/oa^2</f>
        <v>-0.5021656823483438</v>
      </c>
    </row>
    <row r="32" spans="1:35">
      <c r="A32" t="s">
        <v>28</v>
      </c>
      <c r="B32" s="1">
        <f>SUMPRODUCT(lx,wa,ma)</f>
        <v>12.130227764811181</v>
      </c>
      <c r="G32">
        <f>SUMPRODUCT(dlz2_,wa,ma)</f>
        <v>-16.247991347172114</v>
      </c>
      <c r="H32">
        <f>Ro/(reck-1)*phie/phif^2*dphif</f>
        <v>-6.2740665698796789</v>
      </c>
      <c r="J32" s="8" t="s">
        <v>53</v>
      </c>
      <c r="K32">
        <v>0</v>
      </c>
      <c r="L32">
        <f>K32*sa-K$7*K19*K$10</f>
        <v>-2.5798514904308827E-2</v>
      </c>
      <c r="M32">
        <f>L32*sa-L$7*L19*L$10</f>
        <v>-0.17299522594216774</v>
      </c>
      <c r="N32">
        <f>M32*sa-M$7*M19*M$10</f>
        <v>-0.64860780799316664</v>
      </c>
      <c r="O32">
        <f>N32*sa-N$7*N19*N$10</f>
        <v>-1.0042867044370529</v>
      </c>
      <c r="P32">
        <f>O32*sa-O$7*O19*O$10</f>
        <v>-1.0727708933758111</v>
      </c>
      <c r="Q32">
        <f>P32*sa-P$7*P19*P$10</f>
        <v>-0.9988706050796391</v>
      </c>
      <c r="R32">
        <f>Q32*sa-Q$7*Q19*Q$10</f>
        <v>-0.86496350483654871</v>
      </c>
      <c r="S32">
        <f>R32*sa-R$7*R19*R$10</f>
        <v>-0.71773472437485875</v>
      </c>
      <c r="T32">
        <f>S32*sa-S$7*S19*S$10</f>
        <v>-0.58243073539968104</v>
      </c>
      <c r="U32">
        <f>T32*sa-T$7*T19*T$10</f>
        <v>-0.46713309633244121</v>
      </c>
      <c r="V32">
        <f>U32*sa-U$7*U19*U$10</f>
        <v>-0.37224283938547609</v>
      </c>
      <c r="W32">
        <f>V32*sa-V$7*V19*V$10</f>
        <v>-0.29552653960178332</v>
      </c>
      <c r="X32">
        <f>W32*sa-W$7*W19*W$10</f>
        <v>-0.23410783238570507</v>
      </c>
      <c r="Y32">
        <f>X32*sa-X$7*X19*X$10</f>
        <v>-0.18521156485144874</v>
      </c>
      <c r="Z32">
        <f>Y32*sa-Y$7*Y19*Y$10</f>
        <v>-0.14641270584215801</v>
      </c>
      <c r="AA32">
        <f>Z32*sa-Z$7*Z19*Z$10</f>
        <v>-0.11568649535989865</v>
      </c>
      <c r="AB32">
        <f>AA32*sa-AA$7*AA19*AA$10</f>
        <v>-9.138203880042195E-2</v>
      </c>
      <c r="AC32">
        <f>AB32*sa-AB$7*AB19*AB$10</f>
        <v>-7.2170936990327783E-2</v>
      </c>
      <c r="AD32">
        <f>AC32*sa-AC$7*AC19*AC$10</f>
        <v>-5.6992403648057188E-2</v>
      </c>
      <c r="AE32">
        <f>AD32*sa-AD$7*AD19*AD$10</f>
        <v>-4.5003150970029333E-2</v>
      </c>
      <c r="AF32">
        <f>AE32*sa-AE$7*AE19*AE$10</f>
        <v>-3.5534592132897391E-2</v>
      </c>
      <c r="AG32">
        <f>AF32*sa-AF$7*AF19*AF$10</f>
        <v>-2.8057506226295031E-2</v>
      </c>
      <c r="AH32">
        <f>AG32*sa-AG$7*AG19*AG$10</f>
        <v>-2.2153398651080517E-2</v>
      </c>
      <c r="AI32">
        <f>(AH32*sa-AH$7*AH19*AH$10)/oa-AH$7*AH$10*flt2_*sa/oa^2</f>
        <v>-8.3118908370411429E-2</v>
      </c>
    </row>
    <row r="33" spans="1:35">
      <c r="A33" t="s">
        <v>27</v>
      </c>
      <c r="B33" s="1">
        <f>SUMPRODUCT(lz,wa,ma)</f>
        <v>4.8520909821798455</v>
      </c>
      <c r="G33">
        <f>SUMPRODUCT(dlz3_,wa,ma)</f>
        <v>-45.502669621360624</v>
      </c>
      <c r="H33">
        <f>Ro/(reck-1)*phie/phif^2*dphif</f>
        <v>-17.570589016921524</v>
      </c>
      <c r="J33" s="8" t="s">
        <v>54</v>
      </c>
      <c r="K33">
        <v>0</v>
      </c>
      <c r="L33">
        <f>K33*sa-K$7*K20*K$10</f>
        <v>-3.9039145076927187E-5</v>
      </c>
      <c r="M33">
        <f>L33*sa-L$7*L20*L$10</f>
        <v>-4.385433862544509E-4</v>
      </c>
      <c r="N33">
        <f>M33*sa-M$7*M20*M$10</f>
        <v>-4.4643388655116207E-3</v>
      </c>
      <c r="O33">
        <f>N33*sa-N$7*N20*N$10</f>
        <v>-4.220611978300972E-2</v>
      </c>
      <c r="P33">
        <f>O33*sa-O$7*O20*O$10</f>
        <v>-0.24386026690902671</v>
      </c>
      <c r="Q33">
        <f>P33*sa-P$7*P20*P$10</f>
        <v>-0.51459401682955019</v>
      </c>
      <c r="R33">
        <f>Q33*sa-Q$7*Q20*Q$10</f>
        <v>-0.6901256078196556</v>
      </c>
      <c r="S33">
        <f>R33*sa-R$7*R20*R$10</f>
        <v>-0.7721117413966655</v>
      </c>
      <c r="T33">
        <f>S33*sa-S$7*S20*S$10</f>
        <v>-0.78866268609640999</v>
      </c>
      <c r="U33">
        <f>T33*sa-T$7*T20*T$10</f>
        <v>-0.76372991224870224</v>
      </c>
      <c r="V33">
        <f>U33*sa-U$7*U20*U$10</f>
        <v>-0.71423671146313827</v>
      </c>
      <c r="W33">
        <f>V33*sa-V$7*V20*V$10</f>
        <v>-0.65171144669636194</v>
      </c>
      <c r="X33">
        <f>W33*sa-W$7*W20*W$10</f>
        <v>-0.58386072021024282</v>
      </c>
      <c r="Y33">
        <f>X33*sa-X$7*X20*X$10</f>
        <v>-0.51570336600266997</v>
      </c>
      <c r="Z33">
        <f>Y33*sa-Y$7*Y20*Y$10</f>
        <v>-0.45037496408179617</v>
      </c>
      <c r="AA33">
        <f>Z33*sa-Z$7*Z20*Z$10</f>
        <v>-0.38970325157623287</v>
      </c>
      <c r="AB33">
        <f>AA33*sa-AA$7*AA20*AA$10</f>
        <v>-0.33462122089254687</v>
      </c>
      <c r="AC33">
        <f>AB33*sa-AB$7*AB20*AB$10</f>
        <v>-0.28546309373611078</v>
      </c>
      <c r="AD33">
        <f>AC33*sa-AC$7*AC20*AC$10</f>
        <v>-0.24217501393676327</v>
      </c>
      <c r="AE33">
        <f>AD33*sa-AD$7*AD20*AD$10</f>
        <v>-0.20446351804826174</v>
      </c>
      <c r="AF33">
        <f>AE33*sa-AE$7*AE20*AE$10</f>
        <v>-0.17189871519661573</v>
      </c>
      <c r="AG33">
        <f>AF33*sa-AF$7*AF20*AF$10</f>
        <v>-0.14398467389087116</v>
      </c>
      <c r="AH33">
        <f>AG33*sa-AG$7*AG20*AG$10</f>
        <v>-0.12020624299169998</v>
      </c>
      <c r="AI33">
        <f>(AH33*sa-AH$7*AH20*AH$10)/oa-AH$7*AH$10*flt3_*sa/oa^2</f>
        <v>-0.5672693645112965</v>
      </c>
    </row>
    <row r="34" spans="1:35">
      <c r="A34" t="s">
        <v>33</v>
      </c>
      <c r="B34" s="1">
        <f>f1_*SUMPRODUCT(lz,ta1_)</f>
        <v>6.7937773263169687E-2</v>
      </c>
      <c r="C34" s="10">
        <f>phi_t1/SUM(phi_t1,phi_t2,phi_t3)</f>
        <v>0.33333010826615006</v>
      </c>
      <c r="G34" t="s">
        <v>57</v>
      </c>
      <c r="J34" s="8"/>
    </row>
    <row r="35" spans="1:35">
      <c r="A35" t="s">
        <v>34</v>
      </c>
      <c r="B35" s="1">
        <f>f2_*SUMPRODUCT(lz,ta2_)</f>
        <v>6.7937726867299014E-2</v>
      </c>
      <c r="C35" s="10">
        <f>phi_t2/SUM(phi_t1,phi_t2,phi_t3)</f>
        <v>0.33332988062930163</v>
      </c>
      <c r="G35" s="1">
        <f>SUM(dqa11_)</f>
        <v>123.19747723150974</v>
      </c>
      <c r="H35" s="1">
        <f>SUM(dqa12_)</f>
        <v>126.3716357612762</v>
      </c>
      <c r="I35" s="11">
        <f>SUM(dqa13_)</f>
        <v>122.62844808931212</v>
      </c>
      <c r="J35" s="8" t="s">
        <v>62</v>
      </c>
      <c r="K35">
        <f>flt1_*qa1_+lz*wa*flt1_^2/za*(sa-oa/za)</f>
        <v>1.9473378773355118E-12</v>
      </c>
      <c r="L35">
        <f t="shared" ref="K35:AI35" si="13">flt1_*qa1_+lz*wa*flt1_^2/za*(sa-oa/za)</f>
        <v>1.8989762763812101E-9</v>
      </c>
      <c r="M35">
        <f t="shared" si="13"/>
        <v>7.5753362445511414E-7</v>
      </c>
      <c r="N35">
        <f t="shared" si="13"/>
        <v>1.873629937970735E-4</v>
      </c>
      <c r="O35">
        <f t="shared" si="13"/>
        <v>1.3082098159091136E-2</v>
      </c>
      <c r="P35">
        <f t="shared" si="13"/>
        <v>7.7402435174200965E-2</v>
      </c>
      <c r="Q35">
        <f t="shared" si="13"/>
        <v>0.30962752102368157</v>
      </c>
      <c r="R35">
        <f t="shared" si="13"/>
        <v>1.4412469298630965</v>
      </c>
      <c r="S35">
        <f t="shared" si="13"/>
        <v>3.3348592879416774</v>
      </c>
      <c r="T35">
        <f t="shared" si="13"/>
        <v>4.7570094563371894</v>
      </c>
      <c r="U35">
        <f t="shared" si="13"/>
        <v>5.6535798711083398</v>
      </c>
      <c r="V35">
        <f t="shared" si="13"/>
        <v>6.2633079592955134</v>
      </c>
      <c r="W35">
        <f t="shared" si="13"/>
        <v>6.712912019681017</v>
      </c>
      <c r="X35">
        <f t="shared" si="13"/>
        <v>7.0598232796408178</v>
      </c>
      <c r="Y35">
        <f t="shared" si="13"/>
        <v>7.3333183778832263</v>
      </c>
      <c r="Z35">
        <f t="shared" si="13"/>
        <v>7.5509867654263472</v>
      </c>
      <c r="AA35">
        <f t="shared" si="13"/>
        <v>7.7248843317826008</v>
      </c>
      <c r="AB35">
        <f t="shared" si="13"/>
        <v>7.863977130778987</v>
      </c>
      <c r="AC35">
        <f t="shared" si="13"/>
        <v>7.9752292825929354</v>
      </c>
      <c r="AD35">
        <f t="shared" si="13"/>
        <v>8.0641645523898671</v>
      </c>
      <c r="AE35">
        <f t="shared" si="13"/>
        <v>8.1352048562945498</v>
      </c>
      <c r="AF35">
        <f t="shared" si="13"/>
        <v>8.1919022531319712</v>
      </c>
      <c r="AG35">
        <f t="shared" si="13"/>
        <v>8.2371120814317536</v>
      </c>
      <c r="AH35">
        <f t="shared" si="13"/>
        <v>8.273128457581107</v>
      </c>
      <c r="AI35">
        <f t="shared" si="13"/>
        <v>8.2245301615634077</v>
      </c>
    </row>
    <row r="36" spans="1:35">
      <c r="A36" t="s">
        <v>35</v>
      </c>
      <c r="B36" s="1">
        <f>f3_*SUMPRODUCT(lz,ta3_)</f>
        <v>6.7939791613066916E-2</v>
      </c>
      <c r="C36" s="10">
        <f>phi_t3/SUM(phi_t1,phi_t2,phi_t3)</f>
        <v>0.33334001110454831</v>
      </c>
      <c r="G36" s="1">
        <f>SUM(dqa21_)</f>
        <v>126.3716357612762</v>
      </c>
      <c r="H36" s="1">
        <f>SUM(dqa22_)</f>
        <v>2.9621234626507031</v>
      </c>
      <c r="I36" s="11">
        <f>SUM(dqa23_)</f>
        <v>125.81771941796431</v>
      </c>
      <c r="J36" s="8" t="s">
        <v>63</v>
      </c>
      <c r="K36">
        <f t="shared" ref="K36:AI36" si="14">flt2_*qa2_+lz*wa*flt2_^2/za*(sa-oa/za)</f>
        <v>3.3219275925296563E-5</v>
      </c>
      <c r="L36">
        <f t="shared" si="14"/>
        <v>1.0326342972041557E-2</v>
      </c>
      <c r="M36">
        <f t="shared" si="14"/>
        <v>0.44912309177420762</v>
      </c>
      <c r="N36">
        <f t="shared" si="14"/>
        <v>1.0858943392328331</v>
      </c>
      <c r="O36">
        <f t="shared" si="14"/>
        <v>0.72773204893726406</v>
      </c>
      <c r="P36">
        <f t="shared" si="14"/>
        <v>0.37655137542503103</v>
      </c>
      <c r="Q36">
        <f t="shared" si="14"/>
        <v>0.17771459305307732</v>
      </c>
      <c r="R36">
        <f t="shared" si="14"/>
        <v>7.8611758744981081E-2</v>
      </c>
      <c r="S36">
        <f t="shared" si="14"/>
        <v>3.3337477489825761E-2</v>
      </c>
      <c r="T36">
        <f t="shared" si="14"/>
        <v>1.3729365279871902E-2</v>
      </c>
      <c r="U36">
        <f t="shared" si="14"/>
        <v>5.5210898017048629E-3</v>
      </c>
      <c r="V36">
        <f t="shared" si="14"/>
        <v>2.1782510899764364E-3</v>
      </c>
      <c r="W36">
        <f t="shared" si="14"/>
        <v>8.4661839856718288E-4</v>
      </c>
      <c r="X36">
        <f t="shared" si="14"/>
        <v>3.252315744536339E-4</v>
      </c>
      <c r="Y36">
        <f t="shared" si="14"/>
        <v>1.2380343048410994E-4</v>
      </c>
      <c r="Z36">
        <f t="shared" si="14"/>
        <v>4.6791362842376777E-5</v>
      </c>
      <c r="AA36">
        <f t="shared" si="14"/>
        <v>1.7585586754953108E-5</v>
      </c>
      <c r="AB36">
        <f t="shared" si="14"/>
        <v>6.5799697176928448E-6</v>
      </c>
      <c r="AC36">
        <f t="shared" si="14"/>
        <v>2.45341736819546E-6</v>
      </c>
      <c r="AD36">
        <f t="shared" si="14"/>
        <v>9.1225637883498251E-7</v>
      </c>
      <c r="AE36">
        <f t="shared" si="14"/>
        <v>3.384621212213062E-7</v>
      </c>
      <c r="AF36">
        <f t="shared" si="14"/>
        <v>1.2535680817904542E-7</v>
      </c>
      <c r="AG36">
        <f t="shared" si="14"/>
        <v>4.6364562793555851E-8</v>
      </c>
      <c r="AH36">
        <f t="shared" si="14"/>
        <v>1.7129632884462202E-8</v>
      </c>
      <c r="AI36">
        <f t="shared" si="14"/>
        <v>6.2642703072888087E-9</v>
      </c>
    </row>
    <row r="37" spans="1:35">
      <c r="A37" s="1" t="s">
        <v>36</v>
      </c>
      <c r="B37" s="1">
        <f>SUMPRODUCT(lz,qa1_)</f>
        <v>8.4370892275734519</v>
      </c>
      <c r="G37" s="1">
        <f>SUM(dqa31_)</f>
        <v>122.62844808931212</v>
      </c>
      <c r="H37" s="1">
        <f>SUM(dqa32_)</f>
        <v>125.81771941796431</v>
      </c>
      <c r="I37" s="1">
        <f>SUM(dqa33_)</f>
        <v>135.70135732748759</v>
      </c>
      <c r="J37" s="8" t="s">
        <v>64</v>
      </c>
      <c r="K37">
        <f t="shared" ref="K37:AI37" si="15">flt3_*qa3_+lz*wa*flt3_^2/za*(sa-oa/za)</f>
        <v>7.6067885820944087E-11</v>
      </c>
      <c r="L37">
        <f t="shared" si="15"/>
        <v>7.4178754023117143E-8</v>
      </c>
      <c r="M37">
        <f t="shared" si="15"/>
        <v>2.9590736347612658E-5</v>
      </c>
      <c r="N37">
        <f t="shared" si="15"/>
        <v>7.3130075125066923E-3</v>
      </c>
      <c r="O37">
        <f t="shared" si="15"/>
        <v>0.5009541916082807</v>
      </c>
      <c r="P37">
        <f t="shared" si="15"/>
        <v>2.3774322529661505</v>
      </c>
      <c r="Q37">
        <f t="shared" si="15"/>
        <v>3.5198877039410581</v>
      </c>
      <c r="R37">
        <f t="shared" si="15"/>
        <v>4.2843249995930339</v>
      </c>
      <c r="S37">
        <f t="shared" si="15"/>
        <v>4.9435424069532177</v>
      </c>
      <c r="T37">
        <f t="shared" si="15"/>
        <v>5.5343256186244734</v>
      </c>
      <c r="U37">
        <f t="shared" si="15"/>
        <v>6.049434480137557</v>
      </c>
      <c r="V37">
        <f t="shared" si="15"/>
        <v>6.4874035737421449</v>
      </c>
      <c r="W37">
        <f t="shared" si="15"/>
        <v>6.8536743466075283</v>
      </c>
      <c r="X37">
        <f t="shared" si="15"/>
        <v>7.1565091872826869</v>
      </c>
      <c r="Y37">
        <f t="shared" si="15"/>
        <v>7.4048109925691339</v>
      </c>
      <c r="Z37">
        <f t="shared" si="15"/>
        <v>7.6071111283744637</v>
      </c>
      <c r="AA37">
        <f t="shared" si="15"/>
        <v>7.7711214562227786</v>
      </c>
      <c r="AB37">
        <f t="shared" si="15"/>
        <v>7.9035734806481015</v>
      </c>
      <c r="AC37">
        <f t="shared" si="15"/>
        <v>8.0102081755159951</v>
      </c>
      <c r="AD37">
        <f t="shared" si="15"/>
        <v>8.095842368798376</v>
      </c>
      <c r="AE37">
        <f t="shared" si="15"/>
        <v>8.1644695551248372</v>
      </c>
      <c r="AF37">
        <f t="shared" si="15"/>
        <v>8.2193712088698376</v>
      </c>
      <c r="AG37">
        <f t="shared" si="15"/>
        <v>8.2632255103423429</v>
      </c>
      <c r="AH37">
        <f t="shared" si="15"/>
        <v>8.2982069002297614</v>
      </c>
      <c r="AI37">
        <f t="shared" si="15"/>
        <v>8.2485851168321513</v>
      </c>
    </row>
    <row r="38" spans="1:35">
      <c r="A38" s="1" t="s">
        <v>37</v>
      </c>
      <c r="B38" s="1">
        <f>SUMPRODUCT(lz,qa2_)</f>
        <v>3.794061162208926</v>
      </c>
      <c r="G38" t="s">
        <v>69</v>
      </c>
      <c r="J38" s="8" t="s">
        <v>60</v>
      </c>
      <c r="K38">
        <f t="shared" ref="K38:AI38" si="16">flt1_*qa1_+lz*wa*flt2_*flt1_/za*(sa-oa/za)</f>
        <v>-7.6440937560323037E-9</v>
      </c>
      <c r="L38">
        <f t="shared" si="16"/>
        <v>-3.1846642305766726E-6</v>
      </c>
      <c r="M38">
        <f t="shared" si="16"/>
        <v>-3.2134562869033412E-4</v>
      </c>
      <c r="N38">
        <f t="shared" si="16"/>
        <v>-5.7519040482935423E-3</v>
      </c>
      <c r="O38">
        <f t="shared" si="16"/>
        <v>-1.4443822312497637E-2</v>
      </c>
      <c r="P38">
        <f t="shared" si="16"/>
        <v>5.3735619322940124E-2</v>
      </c>
      <c r="Q38">
        <f t="shared" si="16"/>
        <v>0.32447512244606885</v>
      </c>
      <c r="R38">
        <f t="shared" si="16"/>
        <v>1.6123518536485406</v>
      </c>
      <c r="S38">
        <f t="shared" si="16"/>
        <v>3.6967112462173475</v>
      </c>
      <c r="T38">
        <f t="shared" si="16"/>
        <v>5.1775462164450623</v>
      </c>
      <c r="U38">
        <f t="shared" si="16"/>
        <v>6.0505269283860939</v>
      </c>
      <c r="V38">
        <f t="shared" si="16"/>
        <v>6.6099372089612851</v>
      </c>
      <c r="W38">
        <f t="shared" si="16"/>
        <v>7.0050338938459422</v>
      </c>
      <c r="X38">
        <f t="shared" si="16"/>
        <v>7.3012521144571432</v>
      </c>
      <c r="Y38">
        <f t="shared" si="16"/>
        <v>7.5304327267266986</v>
      </c>
      <c r="Z38">
        <f t="shared" si="16"/>
        <v>7.7105944684955965</v>
      </c>
      <c r="AA38">
        <f t="shared" si="16"/>
        <v>7.8533606047163556</v>
      </c>
      <c r="AB38">
        <f t="shared" si="16"/>
        <v>7.966944122930804</v>
      </c>
      <c r="AC38">
        <f t="shared" si="16"/>
        <v>8.0574809745440437</v>
      </c>
      <c r="AD38">
        <f t="shared" si="16"/>
        <v>8.1297033415993631</v>
      </c>
      <c r="AE38">
        <f t="shared" si="16"/>
        <v>8.1873250873606978</v>
      </c>
      <c r="AF38">
        <f t="shared" si="16"/>
        <v>8.2332884103242829</v>
      </c>
      <c r="AG38">
        <f t="shared" si="16"/>
        <v>8.2699357569629672</v>
      </c>
      <c r="AH38">
        <f t="shared" si="16"/>
        <v>8.2991367988332474</v>
      </c>
      <c r="AI38">
        <f t="shared" si="16"/>
        <v>8.3223835293495423</v>
      </c>
    </row>
    <row r="39" spans="1:35">
      <c r="A39" s="1" t="s">
        <v>38</v>
      </c>
      <c r="B39" s="1">
        <f>SUMPRODUCT(lz,qa3_)</f>
        <v>12.143531392176159</v>
      </c>
      <c r="G39" s="1">
        <f>re*phi_q1+f1_*phi_q1*$H31+f1_*re*G35</f>
        <v>102.12243638206041</v>
      </c>
      <c r="H39" s="1">
        <f>re*phi_q1+f1_*phi_q1*$H32+f1_*re*H35</f>
        <v>106.34487593082083</v>
      </c>
      <c r="I39" s="1">
        <f>re*phi_q1+f1_*phi_q1*$H33+f1_*re*I35</f>
        <v>99.680039646617274</v>
      </c>
      <c r="J39" s="8" t="s">
        <v>66</v>
      </c>
      <c r="K39">
        <f t="shared" ref="K39:AI39" si="17">flt1_*qa1_+lz*wa*flt3_*flt1_/za*(sa-oa/za)</f>
        <v>-7.7740141219676842E-12</v>
      </c>
      <c r="L39">
        <f t="shared" si="17"/>
        <v>-5.2782161980610841E-9</v>
      </c>
      <c r="M39">
        <f t="shared" si="17"/>
        <v>-1.4415071252459254E-6</v>
      </c>
      <c r="N39">
        <f t="shared" si="17"/>
        <v>-2.2747232285455743E-4</v>
      </c>
      <c r="O39">
        <f t="shared" si="17"/>
        <v>-9.0298606087405413E-3</v>
      </c>
      <c r="P39">
        <f t="shared" si="17"/>
        <v>-1.1759910288461045E-2</v>
      </c>
      <c r="Q39">
        <f t="shared" si="17"/>
        <v>0.16435517243316333</v>
      </c>
      <c r="R39">
        <f t="shared" si="17"/>
        <v>1.279588499922371</v>
      </c>
      <c r="S39">
        <f t="shared" si="17"/>
        <v>3.2474004957349685</v>
      </c>
      <c r="T39">
        <f t="shared" si="17"/>
        <v>4.7220732481995791</v>
      </c>
      <c r="U39">
        <f t="shared" si="17"/>
        <v>5.6394774687236611</v>
      </c>
      <c r="V39">
        <f t="shared" si="17"/>
        <v>6.2570446074548949</v>
      </c>
      <c r="W39">
        <f t="shared" si="17"/>
        <v>6.7098305676637722</v>
      </c>
      <c r="X39">
        <f t="shared" si="17"/>
        <v>7.0581644305404057</v>
      </c>
      <c r="Y39">
        <f t="shared" si="17"/>
        <v>7.332355918619065</v>
      </c>
      <c r="Z39">
        <f t="shared" si="17"/>
        <v>7.5503932264317584</v>
      </c>
      <c r="AA39">
        <f t="shared" si="17"/>
        <v>7.7244998293307319</v>
      </c>
      <c r="AB39">
        <f t="shared" si="17"/>
        <v>7.8637179918089997</v>
      </c>
      <c r="AC39">
        <f t="shared" si="17"/>
        <v>7.975049004375018</v>
      </c>
      <c r="AD39">
        <f t="shared" si="17"/>
        <v>8.064035909882735</v>
      </c>
      <c r="AE39">
        <f t="shared" si="17"/>
        <v>8.1351111755248908</v>
      </c>
      <c r="AF39">
        <f t="shared" si="17"/>
        <v>8.1918329149242162</v>
      </c>
      <c r="AG39">
        <f t="shared" si="17"/>
        <v>8.2370600896222665</v>
      </c>
      <c r="AH39">
        <f t="shared" si="17"/>
        <v>8.2730890659041147</v>
      </c>
      <c r="AI39">
        <f t="shared" si="17"/>
        <v>8.2243871622286662</v>
      </c>
    </row>
    <row r="40" spans="1:35">
      <c r="G40" s="1">
        <f>re*phi_q1+f1_*phi_q1*$H32+f1_*re*G36</f>
        <v>106.34487593082083</v>
      </c>
      <c r="H40" s="1">
        <f>re*phi_q2+f2_*phi_q2*$H32+f2_*re*H36</f>
        <v>26.910943586427127</v>
      </c>
      <c r="I40" s="1">
        <f>re*phi_q3+f3_*phi_q3*$H33+f3_*re*I36</f>
        <v>108.12561369114297</v>
      </c>
      <c r="J40" s="8" t="s">
        <v>65</v>
      </c>
      <c r="K40">
        <f t="shared" ref="K40:AI40" si="18">flt1_*qa1_+lz*wa*flt1_*flt2_/za*(sa-oa/za)</f>
        <v>-7.6440937560323037E-9</v>
      </c>
      <c r="L40">
        <f t="shared" si="18"/>
        <v>-3.184664230576673E-6</v>
      </c>
      <c r="M40">
        <f t="shared" si="18"/>
        <v>-3.2134562869033412E-4</v>
      </c>
      <c r="N40">
        <f t="shared" si="18"/>
        <v>-5.7519040482935423E-3</v>
      </c>
      <c r="O40">
        <f t="shared" si="18"/>
        <v>-1.4443822312497637E-2</v>
      </c>
      <c r="P40">
        <f t="shared" si="18"/>
        <v>5.3735619322940124E-2</v>
      </c>
      <c r="Q40">
        <f t="shared" si="18"/>
        <v>0.32447512244606885</v>
      </c>
      <c r="R40">
        <f t="shared" si="18"/>
        <v>1.6123518536485406</v>
      </c>
      <c r="S40">
        <f t="shared" si="18"/>
        <v>3.6967112462173475</v>
      </c>
      <c r="T40">
        <f t="shared" si="18"/>
        <v>5.1775462164450623</v>
      </c>
      <c r="U40">
        <f t="shared" si="18"/>
        <v>6.0505269283860939</v>
      </c>
      <c r="V40">
        <f t="shared" si="18"/>
        <v>6.6099372089612851</v>
      </c>
      <c r="W40">
        <f t="shared" si="18"/>
        <v>7.0050338938459422</v>
      </c>
      <c r="X40">
        <f t="shared" si="18"/>
        <v>7.3012521144571432</v>
      </c>
      <c r="Y40">
        <f t="shared" si="18"/>
        <v>7.5304327267266986</v>
      </c>
      <c r="Z40">
        <f t="shared" si="18"/>
        <v>7.7105944684955965</v>
      </c>
      <c r="AA40">
        <f t="shared" si="18"/>
        <v>7.8533606047163556</v>
      </c>
      <c r="AB40">
        <f t="shared" si="18"/>
        <v>7.966944122930804</v>
      </c>
      <c r="AC40">
        <f t="shared" si="18"/>
        <v>8.0574809745440437</v>
      </c>
      <c r="AD40">
        <f t="shared" si="18"/>
        <v>8.1297033415993631</v>
      </c>
      <c r="AE40">
        <f t="shared" si="18"/>
        <v>8.1873250873606978</v>
      </c>
      <c r="AF40">
        <f t="shared" si="18"/>
        <v>8.2332884103242829</v>
      </c>
      <c r="AG40">
        <f t="shared" si="18"/>
        <v>8.2699357569629672</v>
      </c>
      <c r="AH40">
        <f t="shared" si="18"/>
        <v>8.2991367988332474</v>
      </c>
      <c r="AI40">
        <f t="shared" si="18"/>
        <v>8.3223835293495423</v>
      </c>
    </row>
    <row r="41" spans="1:35">
      <c r="A41" s="15" t="s">
        <v>39</v>
      </c>
      <c r="B41" s="16"/>
      <c r="C41" s="16"/>
      <c r="G41" s="1">
        <f>re*phi_q1+f1_*phi_q1*$H33+f1_*re*G37</f>
        <v>99.680039646617274</v>
      </c>
      <c r="H41" s="1">
        <f>re*phi_q3+f3_*phi_q3*$H33+f3_*re*H37</f>
        <v>108.12561369114297</v>
      </c>
      <c r="I41" s="1">
        <f>re*phi_q3+f1_*phi_q3*$H33+f3_*re*I37</f>
        <v>105.47439687651371</v>
      </c>
      <c r="J41" s="8" t="s">
        <v>67</v>
      </c>
      <c r="K41">
        <f t="shared" ref="K41:AI41" si="19">flt1_*qa1_+lz*wa*flt3_*flt2_/za*(sa-oa/za)</f>
        <v>-4.7795530847138868E-8</v>
      </c>
      <c r="L41">
        <f t="shared" si="19"/>
        <v>-1.9921297349795791E-5</v>
      </c>
      <c r="M41">
        <f t="shared" si="19"/>
        <v>-2.0145719556534272E-3</v>
      </c>
      <c r="N41">
        <f t="shared" si="19"/>
        <v>-3.7333029189299843E-2</v>
      </c>
      <c r="O41">
        <f t="shared" si="19"/>
        <v>-0.17936417878854485</v>
      </c>
      <c r="P41">
        <f t="shared" si="19"/>
        <v>-0.14292449680722916</v>
      </c>
      <c r="Q41">
        <f t="shared" si="19"/>
        <v>0.21441633452637915</v>
      </c>
      <c r="R41">
        <f t="shared" si="19"/>
        <v>1.5745969892076195</v>
      </c>
      <c r="S41">
        <f t="shared" si="19"/>
        <v>3.6879668246587305</v>
      </c>
      <c r="T41">
        <f t="shared" si="19"/>
        <v>5.175669347325413</v>
      </c>
      <c r="U41">
        <f t="shared" si="19"/>
        <v>6.0500862276846226</v>
      </c>
      <c r="V41">
        <f t="shared" si="19"/>
        <v>6.6098204046439033</v>
      </c>
      <c r="W41">
        <f t="shared" si="19"/>
        <v>7.0049992884531598</v>
      </c>
      <c r="X41">
        <f t="shared" si="19"/>
        <v>7.3012408552886763</v>
      </c>
      <c r="Y41">
        <f t="shared" si="19"/>
        <v>7.530428772164357</v>
      </c>
      <c r="Z41">
        <f t="shared" si="19"/>
        <v>7.710592990986207</v>
      </c>
      <c r="AA41">
        <f t="shared" si="19"/>
        <v>7.8533600245780359</v>
      </c>
      <c r="AB41">
        <f t="shared" si="19"/>
        <v>7.9669438858897585</v>
      </c>
      <c r="AC41">
        <f t="shared" si="19"/>
        <v>8.0574808745538551</v>
      </c>
      <c r="AD41">
        <f t="shared" si="19"/>
        <v>8.1297032983317195</v>
      </c>
      <c r="AE41">
        <f t="shared" si="19"/>
        <v>8.1873250682524326</v>
      </c>
      <c r="AF41">
        <f t="shared" si="19"/>
        <v>8.2332884017469112</v>
      </c>
      <c r="AG41">
        <f t="shared" si="19"/>
        <v>8.2699357530622866</v>
      </c>
      <c r="AH41">
        <f t="shared" si="19"/>
        <v>8.299136797040811</v>
      </c>
      <c r="AI41">
        <f t="shared" si="19"/>
        <v>8.3223835254030281</v>
      </c>
    </row>
    <row r="42" spans="1:35">
      <c r="A42" s="1" t="s">
        <v>40</v>
      </c>
      <c r="B42" s="1">
        <f>phif/phie</f>
        <v>0.39999998979865592</v>
      </c>
      <c r="J42" s="8" t="s">
        <v>68</v>
      </c>
      <c r="K42">
        <f t="shared" ref="K42:AI42" si="20">flt1_*qa1_+lz*wa*flt1_*flt3_/za*(sa-oa/za)</f>
        <v>-7.7740141219676842E-12</v>
      </c>
      <c r="L42">
        <f t="shared" si="20"/>
        <v>-5.2782161980610858E-9</v>
      </c>
      <c r="M42">
        <f t="shared" si="20"/>
        <v>-1.4415071252459254E-6</v>
      </c>
      <c r="N42">
        <f t="shared" si="20"/>
        <v>-2.2747232285455743E-4</v>
      </c>
      <c r="O42">
        <f t="shared" si="20"/>
        <v>-9.0298606087405413E-3</v>
      </c>
      <c r="P42">
        <f t="shared" si="20"/>
        <v>-1.1759910288461045E-2</v>
      </c>
      <c r="Q42">
        <f t="shared" si="20"/>
        <v>0.16435517243316339</v>
      </c>
      <c r="R42">
        <f t="shared" si="20"/>
        <v>1.279588499922371</v>
      </c>
      <c r="S42">
        <f t="shared" si="20"/>
        <v>3.2474004957349685</v>
      </c>
      <c r="T42">
        <f t="shared" si="20"/>
        <v>4.7220732481995782</v>
      </c>
      <c r="U42">
        <f t="shared" si="20"/>
        <v>5.6394774687236611</v>
      </c>
      <c r="V42">
        <f t="shared" si="20"/>
        <v>6.2570446074548949</v>
      </c>
      <c r="W42">
        <f t="shared" si="20"/>
        <v>6.7098305676637722</v>
      </c>
      <c r="X42">
        <f t="shared" si="20"/>
        <v>7.0581644305404057</v>
      </c>
      <c r="Y42">
        <f t="shared" si="20"/>
        <v>7.332355918619065</v>
      </c>
      <c r="Z42">
        <f t="shared" si="20"/>
        <v>7.5503932264317584</v>
      </c>
      <c r="AA42">
        <f t="shared" si="20"/>
        <v>7.7244998293307319</v>
      </c>
      <c r="AB42">
        <f t="shared" si="20"/>
        <v>7.8637179918089997</v>
      </c>
      <c r="AC42">
        <f t="shared" si="20"/>
        <v>7.975049004375018</v>
      </c>
      <c r="AD42">
        <f t="shared" si="20"/>
        <v>8.064035909882735</v>
      </c>
      <c r="AE42">
        <f t="shared" si="20"/>
        <v>8.1351111755248908</v>
      </c>
      <c r="AF42">
        <f t="shared" si="20"/>
        <v>8.1918329149242162</v>
      </c>
      <c r="AG42">
        <f t="shared" si="20"/>
        <v>8.2370600896222665</v>
      </c>
      <c r="AH42">
        <f t="shared" si="20"/>
        <v>8.2730890659041147</v>
      </c>
      <c r="AI42">
        <f t="shared" si="20"/>
        <v>8.2243871622286662</v>
      </c>
    </row>
    <row r="43" spans="1:35">
      <c r="A43" s="1" t="s">
        <v>41</v>
      </c>
      <c r="B43" s="11">
        <f>MAX(0,Ro*(reck-1/spr)/(reck-1))</f>
        <v>7.1197043830082487</v>
      </c>
      <c r="J43" s="8" t="s">
        <v>61</v>
      </c>
      <c r="K43">
        <f t="shared" ref="K43:AI43" si="21">flt1_*qa1_+lz*wa*flt2_*flt3_/za*(sa-oa/za)</f>
        <v>-4.7795530847138868E-8</v>
      </c>
      <c r="L43">
        <f t="shared" si="21"/>
        <v>-1.9921297349795788E-5</v>
      </c>
      <c r="M43">
        <f t="shared" si="21"/>
        <v>-2.0145719556534276E-3</v>
      </c>
      <c r="N43">
        <f t="shared" si="21"/>
        <v>-3.7333029189299843E-2</v>
      </c>
      <c r="O43">
        <f t="shared" si="21"/>
        <v>-0.17936417878854485</v>
      </c>
      <c r="P43">
        <f t="shared" si="21"/>
        <v>-0.14292449680722916</v>
      </c>
      <c r="Q43">
        <f t="shared" si="21"/>
        <v>0.21441633452637918</v>
      </c>
      <c r="R43">
        <f t="shared" si="21"/>
        <v>1.5745969892076195</v>
      </c>
      <c r="S43">
        <f t="shared" si="21"/>
        <v>3.6879668246587305</v>
      </c>
      <c r="T43">
        <f t="shared" si="21"/>
        <v>5.175669347325413</v>
      </c>
      <c r="U43">
        <f t="shared" si="21"/>
        <v>6.0500862276846226</v>
      </c>
      <c r="V43">
        <f t="shared" si="21"/>
        <v>6.6098204046439033</v>
      </c>
      <c r="W43">
        <f t="shared" si="21"/>
        <v>7.0049992884531598</v>
      </c>
      <c r="X43">
        <f t="shared" si="21"/>
        <v>7.3012408552886763</v>
      </c>
      <c r="Y43">
        <f t="shared" si="21"/>
        <v>7.530428772164357</v>
      </c>
      <c r="Z43">
        <f t="shared" si="21"/>
        <v>7.710592990986207</v>
      </c>
      <c r="AA43">
        <f t="shared" si="21"/>
        <v>7.8533600245780359</v>
      </c>
      <c r="AB43">
        <f t="shared" si="21"/>
        <v>7.9669438858897585</v>
      </c>
      <c r="AC43">
        <f t="shared" si="21"/>
        <v>8.0574808745538551</v>
      </c>
      <c r="AD43">
        <f t="shared" si="21"/>
        <v>8.1297032983317195</v>
      </c>
      <c r="AE43">
        <f t="shared" si="21"/>
        <v>8.1873250682524326</v>
      </c>
      <c r="AF43">
        <f t="shared" si="21"/>
        <v>8.2332884017469112</v>
      </c>
      <c r="AG43">
        <f t="shared" si="21"/>
        <v>8.2699357530622866</v>
      </c>
      <c r="AH43">
        <f t="shared" si="21"/>
        <v>8.299136797040811</v>
      </c>
      <c r="AI43">
        <f t="shared" si="21"/>
        <v>8.3223835254030281</v>
      </c>
    </row>
    <row r="44" spans="1:35">
      <c r="A44" s="1" t="s">
        <v>43</v>
      </c>
      <c r="B44" s="1">
        <f>f1_*re*phi_q1</f>
        <v>3.2826615854237193</v>
      </c>
      <c r="C44" s="20">
        <f>ye_1/SUM(ye_1,ye_2,ye_3)</f>
        <v>0.46633773903771369</v>
      </c>
    </row>
    <row r="45" spans="1:35">
      <c r="A45" s="1" t="s">
        <v>44</v>
      </c>
      <c r="B45" s="1">
        <f>f2_*re*phi_q2</f>
        <v>1.0114520198710797</v>
      </c>
      <c r="C45" s="20">
        <f>ye_2/SUM(ye_1,ye_2,ye_3)</f>
        <v>0.14368774721897648</v>
      </c>
      <c r="J45" s="2" t="s">
        <v>89</v>
      </c>
    </row>
    <row r="46" spans="1:35" ht="19" thickBot="1">
      <c r="A46" s="1" t="s">
        <v>45</v>
      </c>
      <c r="B46" s="1">
        <f>f3_*re*phi_q3</f>
        <v>2.7451227906217746</v>
      </c>
      <c r="C46" s="20">
        <f>ye_3/SUM(ye_1,ye_2,ye_3)</f>
        <v>0.38997451374330983</v>
      </c>
      <c r="G46" s="32" t="s">
        <v>70</v>
      </c>
      <c r="H46" s="32"/>
      <c r="I46" s="32"/>
      <c r="J46" s="8" t="s">
        <v>76</v>
      </c>
      <c r="K46">
        <f>lz*qa1_</f>
        <v>5.2290020791317078E-7</v>
      </c>
      <c r="L46">
        <f>lz*qa1_</f>
        <v>3.1741915868750699E-5</v>
      </c>
      <c r="M46">
        <f>lz*qa1_</f>
        <v>8.0649951766141657E-4</v>
      </c>
      <c r="N46">
        <f>lz*qa1_</f>
        <v>1.3439595158559556E-2</v>
      </c>
      <c r="O46">
        <f>lz*qa1_</f>
        <v>0.1089836609230547</v>
      </c>
      <c r="P46">
        <f>lz*qa1_</f>
        <v>0.24362763581099076</v>
      </c>
      <c r="Q46">
        <f>lz*qa1_</f>
        <v>0.43057571687352919</v>
      </c>
      <c r="R46">
        <f>lz*qa1_</f>
        <v>0.79927072233865171</v>
      </c>
      <c r="S46">
        <f>lz*qa1_</f>
        <v>1.0179766705086843</v>
      </c>
      <c r="T46">
        <f>lz*qa1_</f>
        <v>0.99761752399096215</v>
      </c>
      <c r="U46">
        <f>lz*qa1_</f>
        <v>0.88236118276556896</v>
      </c>
      <c r="V46">
        <f>lz*qa1_</f>
        <v>0.74842180764174093</v>
      </c>
      <c r="W46">
        <f>lz*qa1_</f>
        <v>0.62153672496021106</v>
      </c>
      <c r="X46">
        <f>lz*qa1_</f>
        <v>0.50957156063498488</v>
      </c>
      <c r="Y46">
        <f>lz*qa1_</f>
        <v>0.41412252354476048</v>
      </c>
      <c r="Z46">
        <f>lz*qa1_</f>
        <v>0.33440361810465824</v>
      </c>
      <c r="AA46">
        <f>lz*qa1_</f>
        <v>0.26872748263268081</v>
      </c>
      <c r="AB46">
        <f>lz*qa1_</f>
        <v>0.21514665564747329</v>
      </c>
      <c r="AC46">
        <f>lz*qa1_</f>
        <v>0.17174955149772531</v>
      </c>
      <c r="AD46">
        <f>lz*qa1_</f>
        <v>0.13679378607321857</v>
      </c>
      <c r="AE46">
        <f>lz*qa1_</f>
        <v>0.10875674331730786</v>
      </c>
      <c r="AF46">
        <f>lz*qa1_</f>
        <v>8.6343220576571525E-2</v>
      </c>
      <c r="AG46">
        <f>lz*qa1_</f>
        <v>6.8471609937074032E-2</v>
      </c>
      <c r="AH46">
        <f>lz*qa1_</f>
        <v>5.4250530345746485E-2</v>
      </c>
      <c r="AI46">
        <f>lz*qa1_</f>
        <v>0.20410193995555931</v>
      </c>
    </row>
    <row r="47" spans="1:35" ht="19" thickTop="1">
      <c r="A47" s="1" t="s">
        <v>73</v>
      </c>
      <c r="B47" s="1">
        <f>SUM(B44:B46)</f>
        <v>7.0392363959165731</v>
      </c>
      <c r="F47" t="s">
        <v>86</v>
      </c>
      <c r="G47" s="31">
        <f>G39/G53</f>
        <v>1</v>
      </c>
      <c r="H47" s="31">
        <f t="shared" ref="H47:I47" si="22">H39/H53</f>
        <v>2.028577117427997</v>
      </c>
      <c r="I47" s="31">
        <f t="shared" si="22"/>
        <v>0.96044852297629579</v>
      </c>
      <c r="J47" s="8" t="s">
        <v>77</v>
      </c>
      <c r="K47">
        <f>lz*qa2_</f>
        <v>2.1596990628934233E-3</v>
      </c>
      <c r="L47">
        <f>lz*qa2_</f>
        <v>7.4019583881604165E-2</v>
      </c>
      <c r="M47">
        <f>lz*qa2_</f>
        <v>0.62099177387822324</v>
      </c>
      <c r="N47">
        <f>lz*qa2_</f>
        <v>1.0231470646540071</v>
      </c>
      <c r="O47">
        <f>lz*qa2_</f>
        <v>0.81284631534510376</v>
      </c>
      <c r="P47">
        <f>lz*qa2_</f>
        <v>0.53735507856477149</v>
      </c>
      <c r="Q47">
        <f>lz*qa2_</f>
        <v>0.32620551651111068</v>
      </c>
      <c r="R47">
        <f>lz*qa2_</f>
        <v>0.18666739361849227</v>
      </c>
      <c r="S47">
        <f>lz*qa2_</f>
        <v>0.10178070059241733</v>
      </c>
      <c r="T47">
        <f>lz*qa2_</f>
        <v>5.3594755235747783E-2</v>
      </c>
      <c r="U47">
        <f>lz*qa2_</f>
        <v>2.7573826188528737E-2</v>
      </c>
      <c r="V47">
        <f>lz*qa2_</f>
        <v>1.3957207032191722E-2</v>
      </c>
      <c r="W47">
        <f>lz*qa2_</f>
        <v>6.9799959161113007E-3</v>
      </c>
      <c r="X47">
        <f>lz*qa2_</f>
        <v>3.4586340890844151E-3</v>
      </c>
      <c r="Y47">
        <f>lz*qa2_</f>
        <v>1.7015508057002177E-3</v>
      </c>
      <c r="Z47">
        <f>lz*qa2_</f>
        <v>8.3243812136340166E-4</v>
      </c>
      <c r="AA47">
        <f>lz*qa2_</f>
        <v>4.0545673877556671E-4</v>
      </c>
      <c r="AB47">
        <f>lz*qa2_</f>
        <v>1.9680015044644847E-4</v>
      </c>
      <c r="AC47">
        <f>lz*qa2_</f>
        <v>9.5259816487469869E-5</v>
      </c>
      <c r="AD47">
        <f>lz*qa2_</f>
        <v>4.6009247855434201E-5</v>
      </c>
      <c r="AE47">
        <f>lz*qa2_</f>
        <v>2.2183342446094997E-5</v>
      </c>
      <c r="AF47">
        <f>lz*qa2_</f>
        <v>1.0680948614397978E-5</v>
      </c>
      <c r="AG47">
        <f>lz*qa2_</f>
        <v>5.1370777167818016E-6</v>
      </c>
      <c r="AH47">
        <f>lz*qa2_</f>
        <v>2.4685568425468444E-6</v>
      </c>
      <c r="AI47">
        <f>lz*qa2_</f>
        <v>5.6328323898859568E-6</v>
      </c>
    </row>
    <row r="48" spans="1:35">
      <c r="A48" s="1"/>
      <c r="B48" s="1"/>
      <c r="F48" t="s">
        <v>87</v>
      </c>
      <c r="G48" s="31">
        <f>G40/G54</f>
        <v>2.028577117427997</v>
      </c>
      <c r="H48" s="31">
        <f t="shared" ref="H48:I48" si="23">H40/H54</f>
        <v>1</v>
      </c>
      <c r="I48" s="31">
        <f t="shared" si="23"/>
        <v>2.0295072036324142</v>
      </c>
      <c r="J48" s="8" t="s">
        <v>78</v>
      </c>
      <c r="K48">
        <f>lz*qa3_</f>
        <v>3.2681262991893478E-6</v>
      </c>
      <c r="L48">
        <f>lz*qa3_</f>
        <v>1.9838696512265364E-4</v>
      </c>
      <c r="M48">
        <f>lz*qa3_</f>
        <v>5.0405861403520387E-3</v>
      </c>
      <c r="N48">
        <f>lz*qa3_</f>
        <v>8.3963839120861999E-2</v>
      </c>
      <c r="O48">
        <f>lz*qa3_</f>
        <v>0.67440642340110735</v>
      </c>
      <c r="P48">
        <f>lz*qa3_</f>
        <v>1.3502161979255529</v>
      </c>
      <c r="Q48">
        <f>lz*qa3_</f>
        <v>1.4517577716834051</v>
      </c>
      <c r="R48">
        <f>lz*qa3_</f>
        <v>1.3780529695493997</v>
      </c>
      <c r="S48">
        <f>lz*qa3_</f>
        <v>1.2394191447607816</v>
      </c>
      <c r="T48">
        <f>lz*qa3_</f>
        <v>1.07604247767971</v>
      </c>
      <c r="U48">
        <f>lz*qa3_</f>
        <v>0.91272935160514923</v>
      </c>
      <c r="V48">
        <f>lz*qa3_</f>
        <v>0.76169307719713109</v>
      </c>
      <c r="W48">
        <f>lz*qa3_</f>
        <v>0.62801938593121043</v>
      </c>
      <c r="X48">
        <f>lz*qa3_</f>
        <v>0.51304904489467007</v>
      </c>
      <c r="Y48">
        <f>lz*qa3_</f>
        <v>0.41613627032816913</v>
      </c>
      <c r="Z48">
        <f>lz*qa3_</f>
        <v>0.33564408143433422</v>
      </c>
      <c r="AA48">
        <f>lz*qa3_</f>
        <v>0.26953051399785766</v>
      </c>
      <c r="AB48">
        <f>lz*qa3_</f>
        <v>0.21568762400042218</v>
      </c>
      <c r="AC48">
        <f>lz*qa3_</f>
        <v>0.17212578120276878</v>
      </c>
      <c r="AD48">
        <f>lz*qa3_</f>
        <v>0.13706220081001347</v>
      </c>
      <c r="AE48">
        <f>lz*qa3_</f>
        <v>0.10895218253656411</v>
      </c>
      <c r="AF48">
        <f>lz*qa3_</f>
        <v>8.6487861779689035E-2</v>
      </c>
      <c r="AG48">
        <f>lz*qa3_</f>
        <v>6.8580058968315857E-2</v>
      </c>
      <c r="AH48">
        <f>lz*qa3_</f>
        <v>5.4332693299037248E-2</v>
      </c>
      <c r="AI48">
        <f>lz*qa3_</f>
        <v>0.20440019883823521</v>
      </c>
    </row>
    <row r="49" spans="1:10">
      <c r="A49" s="1" t="s">
        <v>79</v>
      </c>
      <c r="B49" s="1">
        <f>ye_2</f>
        <v>1.0114520198710797</v>
      </c>
      <c r="F49" t="s">
        <v>88</v>
      </c>
      <c r="G49" s="31">
        <f>G41/G55</f>
        <v>0.96044852297629579</v>
      </c>
      <c r="H49" s="31">
        <f t="shared" ref="H49:I49" si="24">H41/H55</f>
        <v>2.0295072036324142</v>
      </c>
      <c r="I49" s="31">
        <f t="shared" si="24"/>
        <v>1</v>
      </c>
    </row>
    <row r="51" spans="1:10">
      <c r="G51" t="s">
        <v>71</v>
      </c>
    </row>
    <row r="52" spans="1:10">
      <c r="G52" s="1">
        <f>G39^0.5</f>
        <v>10.105564624604625</v>
      </c>
      <c r="H52" s="1">
        <f>H40^0.5</f>
        <v>5.1875758872933249</v>
      </c>
      <c r="I52" s="11">
        <f>I41^0.5</f>
        <v>10.270072875910556</v>
      </c>
    </row>
    <row r="53" spans="1:10">
      <c r="G53">
        <f>G$52*$J53</f>
        <v>102.12243638206041</v>
      </c>
      <c r="H53">
        <f>H$52*$J53</f>
        <v>52.423383374083372</v>
      </c>
      <c r="I53">
        <f>I$52*$J53</f>
        <v>103.7848851469132</v>
      </c>
      <c r="J53">
        <f t="array" ref="J53:J55">TRANSPOSE(G52:I52)</f>
        <v>10.105564624604625</v>
      </c>
    </row>
    <row r="54" spans="1:10">
      <c r="G54">
        <f>G$52*$J54</f>
        <v>52.423383374083372</v>
      </c>
      <c r="H54">
        <f>H$52*$J54</f>
        <v>26.910943586427127</v>
      </c>
      <c r="I54">
        <f>I$52*$J54</f>
        <v>53.276782411818807</v>
      </c>
      <c r="J54">
        <v>5.1875758872933249</v>
      </c>
    </row>
    <row r="55" spans="1:10">
      <c r="G55">
        <f>G$52*$J55</f>
        <v>103.7848851469132</v>
      </c>
      <c r="H55">
        <f>H$52*$J55</f>
        <v>53.276782411818807</v>
      </c>
      <c r="I55">
        <f>I$52*$J55</f>
        <v>105.47439687651371</v>
      </c>
      <c r="J55">
        <v>10.270072875910556</v>
      </c>
    </row>
  </sheetData>
  <phoneticPr fontId="5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Sheet1!K18:AI18</xm:f>
              <xm:sqref>J18</xm:sqref>
            </x14:sparkline>
            <x14:sparkline>
              <xm:f>Sheet1!K19:AI19</xm:f>
              <xm:sqref>J19</xm:sqref>
            </x14:sparkline>
            <x14:sparkline>
              <xm:f>Sheet1!K20:AI20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Sheet1!K46:AI46</xm:f>
              <xm:sqref>J46</xm:sqref>
            </x14:sparkline>
            <x14:sparkline>
              <xm:f>Sheet1!K47:AI47</xm:f>
              <xm:sqref>J47</xm:sqref>
            </x14:sparkline>
            <x14:sparkline>
              <xm:f>Sheet1!K48:AI48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2015-07-23T23:13:19Z</dcterms:modified>
</cp:coreProperties>
</file>