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0" yWindow="0" windowWidth="28800" windowHeight="17460" tabRatio="500" activeTab="2"/>
  </bookViews>
  <sheets>
    <sheet name="Sheet1" sheetId="1" r:id="rId1"/>
    <sheet name="Sheet2" sheetId="2" r:id="rId2"/>
    <sheet name="Allocation Mar" sheetId="8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 Mar'!$E$6:$E$7</definedName>
    <definedName name="ah">Sheet2!$E$6:$E$7</definedName>
    <definedName name="ak" localSheetId="2">'Allocation Mar'!$B$10:$C$10</definedName>
    <definedName name="ak">Allocation!$B$9:$C$9</definedName>
    <definedName name="akdYe">'Allocation Mar'!$B$31:$C$31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 Mar'!$B$22:$C$22</definedName>
    <definedName name="ddphif">Sheet2!$B$22:$C$22</definedName>
    <definedName name="ddphiq" localSheetId="3">Allocation!$B$25:$C$25</definedName>
    <definedName name="ddphiq" localSheetId="2">'Allocation Mar'!$B$25:$C$25</definedName>
    <definedName name="ddphiq">Sheet2!$B$25:$C$25</definedName>
    <definedName name="ddre" localSheetId="3">Allocation!$B$27:$C$27</definedName>
    <definedName name="ddre" localSheetId="2">'Allocation Mar'!$B$27:$C$27</definedName>
    <definedName name="ddre">Sheet2!$B$27:$C$27</definedName>
    <definedName name="delta" localSheetId="3">Allocation!$B$39:$C$39</definedName>
    <definedName name="delta" localSheetId="2">'Allocation Mar'!$B$37:$C$37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 Mar'!$B$13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 Mar'!$B$21:$C$21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 Mar'!$B$24:$C$24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 Mar'!$B$26:$C$26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 Mar'!$B$45:$C$45</definedName>
    <definedName name="dta">Sheet2!$B$45:$C$45</definedName>
    <definedName name="dYe" localSheetId="2">'Allocation Mar'!$B$30:$C$30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 Mar'!$B$20:$C$20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 Mar'!$G$3:$Z$3</definedName>
    <definedName name="fa" localSheetId="6">FlakLake!$F$3:$L$3</definedName>
    <definedName name="fa" localSheetId="4">SingleFleet!$F$3:$L$3</definedName>
    <definedName name="fa">Sheet2!$G$3:$Z$3</definedName>
    <definedName name="favg">#REF!</definedName>
    <definedName name="fbar">Allocation!$D$48</definedName>
    <definedName name="fe" localSheetId="3">Allocation!$B$6:$B$7</definedName>
    <definedName name="fe" localSheetId="2">'Allocation Mar'!$B$6:$B$7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 Mar'!$B$38:$C$38</definedName>
    <definedName name="fiter">Sheet2!$B$38:$C$38</definedName>
    <definedName name="fstp">'Allocation Mar'!$B$36:$C$36</definedName>
    <definedName name="ft">Sheet5!$B$3</definedName>
    <definedName name="h" localSheetId="3">Allocation!$B$2</definedName>
    <definedName name="h" localSheetId="2">'Allocation Mar'!$B$2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>Allocation!$B$11:$C$11</definedName>
    <definedName name="lw">FlakLake!$F$10:$L$10</definedName>
    <definedName name="lx" localSheetId="3">Allocation!$G$4:$Z$4</definedName>
    <definedName name="lx" localSheetId="2">'Allocation Mar'!$G$4:$Z$4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 Mar'!$G$14:$Z$14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 Mar'!$B$3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 Mar'!$G$10:$Z$10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 Mar'!$B$18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 Mar'!$B$19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 Mar'!$B$23:$C$23</definedName>
    <definedName name="phiq" localSheetId="6">FlakLake!$B$13</definedName>
    <definedName name="phiq" localSheetId="4">SingleFleet!$B$13</definedName>
    <definedName name="phiq">Sheet2!$B$23:$C$23</definedName>
    <definedName name="pk">Allocation!$B$10:$C$10</definedName>
    <definedName name="plambda">#REF!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 Mar'!$B$17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 Mar'!$B$8</definedName>
    <definedName name="reck">Sheet2!$B$8</definedName>
    <definedName name="ro" localSheetId="3">Allocation!$B$1</definedName>
    <definedName name="ro" localSheetId="2">'Allocation Mar'!$B$1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 Mar'!$G$9:$Z$9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 Mar'!$G$6:$Z$7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 Mar'!$B$4</definedName>
    <definedName name="vbk">Sheet2!$B$4</definedName>
    <definedName name="wa" localSheetId="3">Allocation!$G$2:$Z$2</definedName>
    <definedName name="wa" localSheetId="2">'Allocation Mar'!$G$2:$Z$2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 Mar'!$B$29:$C$29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 Mar'!$G$8:$Z$8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9" i="8" l="1"/>
  <c r="G8" i="8"/>
  <c r="H18" i="8"/>
  <c r="H8" i="8"/>
  <c r="H14" i="8"/>
  <c r="I18" i="8"/>
  <c r="I8" i="8"/>
  <c r="I14" i="8"/>
  <c r="J18" i="8"/>
  <c r="J8" i="8"/>
  <c r="J14" i="8"/>
  <c r="K18" i="8"/>
  <c r="K8" i="8"/>
  <c r="K14" i="8"/>
  <c r="L18" i="8"/>
  <c r="L8" i="8"/>
  <c r="L14" i="8"/>
  <c r="M18" i="8"/>
  <c r="M8" i="8"/>
  <c r="M14" i="8"/>
  <c r="N18" i="8"/>
  <c r="N8" i="8"/>
  <c r="N14" i="8"/>
  <c r="O18" i="8"/>
  <c r="O8" i="8"/>
  <c r="O14" i="8"/>
  <c r="P18" i="8"/>
  <c r="P8" i="8"/>
  <c r="P14" i="8"/>
  <c r="Q18" i="8"/>
  <c r="Q8" i="8"/>
  <c r="Q14" i="8"/>
  <c r="R18" i="8"/>
  <c r="R8" i="8"/>
  <c r="R14" i="8"/>
  <c r="S18" i="8"/>
  <c r="S8" i="8"/>
  <c r="S14" i="8"/>
  <c r="T18" i="8"/>
  <c r="T8" i="8"/>
  <c r="T14" i="8"/>
  <c r="U18" i="8"/>
  <c r="U8" i="8"/>
  <c r="U14" i="8"/>
  <c r="V18" i="8"/>
  <c r="V8" i="8"/>
  <c r="V14" i="8"/>
  <c r="W18" i="8"/>
  <c r="W8" i="8"/>
  <c r="W14" i="8"/>
  <c r="X18" i="8"/>
  <c r="X8" i="8"/>
  <c r="X14" i="8"/>
  <c r="Y18" i="8"/>
  <c r="Y14" i="8"/>
  <c r="Y8" i="8"/>
  <c r="Y9" i="8"/>
  <c r="Z8" i="8"/>
  <c r="Z9" i="8"/>
  <c r="Z10" i="8"/>
  <c r="Z18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G11" i="8"/>
  <c r="G22" i="8"/>
  <c r="H11" i="8"/>
  <c r="H22" i="8"/>
  <c r="I11" i="8"/>
  <c r="I22" i="8"/>
  <c r="J11" i="8"/>
  <c r="J22" i="8"/>
  <c r="K11" i="8"/>
  <c r="K22" i="8"/>
  <c r="L11" i="8"/>
  <c r="L22" i="8"/>
  <c r="M11" i="8"/>
  <c r="M22" i="8"/>
  <c r="N11" i="8"/>
  <c r="N22" i="8"/>
  <c r="O11" i="8"/>
  <c r="O22" i="8"/>
  <c r="P11" i="8"/>
  <c r="P22" i="8"/>
  <c r="Q11" i="8"/>
  <c r="Q22" i="8"/>
  <c r="R11" i="8"/>
  <c r="R22" i="8"/>
  <c r="S11" i="8"/>
  <c r="S22" i="8"/>
  <c r="T11" i="8"/>
  <c r="T22" i="8"/>
  <c r="U11" i="8"/>
  <c r="U22" i="8"/>
  <c r="V11" i="8"/>
  <c r="V22" i="8"/>
  <c r="W11" i="8"/>
  <c r="W22" i="8"/>
  <c r="X11" i="8"/>
  <c r="X22" i="8"/>
  <c r="Y11" i="8"/>
  <c r="Y22" i="8"/>
  <c r="Z11" i="8"/>
  <c r="Z14" i="8"/>
  <c r="Z22" i="8"/>
  <c r="B24" i="8"/>
  <c r="B21" i="8"/>
  <c r="B19" i="8"/>
  <c r="B26" i="8"/>
  <c r="C6" i="8"/>
  <c r="H15" i="8"/>
  <c r="I15" i="8"/>
  <c r="J15" i="8"/>
  <c r="D6" i="8"/>
  <c r="H16" i="8"/>
  <c r="I16" i="8"/>
  <c r="J16" i="8"/>
  <c r="J17" i="8"/>
  <c r="K15" i="8"/>
  <c r="K16" i="8"/>
  <c r="K17" i="8"/>
  <c r="L15" i="8"/>
  <c r="L16" i="8"/>
  <c r="L17" i="8"/>
  <c r="M15" i="8"/>
  <c r="M16" i="8"/>
  <c r="M17" i="8"/>
  <c r="N15" i="8"/>
  <c r="N16" i="8"/>
  <c r="N17" i="8"/>
  <c r="O15" i="8"/>
  <c r="O16" i="8"/>
  <c r="O17" i="8"/>
  <c r="P15" i="8"/>
  <c r="P16" i="8"/>
  <c r="P17" i="8"/>
  <c r="Q15" i="8"/>
  <c r="Q16" i="8"/>
  <c r="Q17" i="8"/>
  <c r="R15" i="8"/>
  <c r="R16" i="8"/>
  <c r="R17" i="8"/>
  <c r="S15" i="8"/>
  <c r="S16" i="8"/>
  <c r="S17" i="8"/>
  <c r="T15" i="8"/>
  <c r="T16" i="8"/>
  <c r="T17" i="8"/>
  <c r="U15" i="8"/>
  <c r="U16" i="8"/>
  <c r="U17" i="8"/>
  <c r="V15" i="8"/>
  <c r="V16" i="8"/>
  <c r="V17" i="8"/>
  <c r="W15" i="8"/>
  <c r="W16" i="8"/>
  <c r="W17" i="8"/>
  <c r="X15" i="8"/>
  <c r="X16" i="8"/>
  <c r="X17" i="8"/>
  <c r="Y15" i="8"/>
  <c r="Y16" i="8"/>
  <c r="Y17" i="8"/>
  <c r="Z15" i="8"/>
  <c r="Z16" i="8"/>
  <c r="Z17" i="8"/>
  <c r="G17" i="8"/>
  <c r="I17" i="8"/>
  <c r="H17" i="8"/>
  <c r="C7" i="8"/>
  <c r="D7" i="8"/>
  <c r="C20" i="8"/>
  <c r="B20" i="8"/>
  <c r="C1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B22" i="8"/>
  <c r="B27" i="8"/>
  <c r="C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C22" i="8"/>
  <c r="C27" i="8"/>
  <c r="B3" i="8"/>
  <c r="B8" i="8"/>
  <c r="G15" i="8"/>
  <c r="G14" i="8"/>
  <c r="G16" i="8"/>
  <c r="G27" i="8"/>
  <c r="G2" i="8"/>
  <c r="G6" i="8"/>
  <c r="G7" i="8"/>
  <c r="G18" i="8"/>
  <c r="G9" i="8"/>
  <c r="G10" i="8"/>
  <c r="G26" i="8"/>
  <c r="H2" i="8"/>
  <c r="H7" i="8"/>
  <c r="G12" i="8"/>
  <c r="G25" i="8"/>
  <c r="G24" i="8"/>
  <c r="H6" i="8"/>
  <c r="G23" i="8"/>
  <c r="Z2" i="8"/>
  <c r="Z7" i="8"/>
  <c r="Z6" i="8"/>
  <c r="Z12" i="8"/>
  <c r="Y2" i="8"/>
  <c r="Y7" i="8"/>
  <c r="X2" i="8"/>
  <c r="X7" i="8"/>
  <c r="X6" i="8"/>
  <c r="X12" i="8"/>
  <c r="W2" i="8"/>
  <c r="W7" i="8"/>
  <c r="W6" i="8"/>
  <c r="W12" i="8"/>
  <c r="V2" i="8"/>
  <c r="V7" i="8"/>
  <c r="V6" i="8"/>
  <c r="V12" i="8"/>
  <c r="U2" i="8"/>
  <c r="U7" i="8"/>
  <c r="U6" i="8"/>
  <c r="U12" i="8"/>
  <c r="T2" i="8"/>
  <c r="T7" i="8"/>
  <c r="T6" i="8"/>
  <c r="T12" i="8"/>
  <c r="S2" i="8"/>
  <c r="S7" i="8"/>
  <c r="S6" i="8"/>
  <c r="S12" i="8"/>
  <c r="R2" i="8"/>
  <c r="R7" i="8"/>
  <c r="R6" i="8"/>
  <c r="R12" i="8"/>
  <c r="Q2" i="8"/>
  <c r="Q7" i="8"/>
  <c r="Q6" i="8"/>
  <c r="Q12" i="8"/>
  <c r="P2" i="8"/>
  <c r="P7" i="8"/>
  <c r="P6" i="8"/>
  <c r="P12" i="8"/>
  <c r="O2" i="8"/>
  <c r="O7" i="8"/>
  <c r="O6" i="8"/>
  <c r="O12" i="8"/>
  <c r="N2" i="8"/>
  <c r="N7" i="8"/>
  <c r="N6" i="8"/>
  <c r="N12" i="8"/>
  <c r="M2" i="8"/>
  <c r="M7" i="8"/>
  <c r="M6" i="8"/>
  <c r="M12" i="8"/>
  <c r="L2" i="8"/>
  <c r="L7" i="8"/>
  <c r="L6" i="8"/>
  <c r="L12" i="8"/>
  <c r="K2" i="8"/>
  <c r="K7" i="8"/>
  <c r="K6" i="8"/>
  <c r="K12" i="8"/>
  <c r="J2" i="8"/>
  <c r="J7" i="8"/>
  <c r="J6" i="8"/>
  <c r="J12" i="8"/>
  <c r="I2" i="8"/>
  <c r="I7" i="8"/>
  <c r="I6" i="8"/>
  <c r="I12" i="8"/>
  <c r="Y6" i="8"/>
  <c r="X9" i="8"/>
  <c r="X10" i="8"/>
  <c r="W9" i="8"/>
  <c r="W10" i="8"/>
  <c r="V9" i="8"/>
  <c r="V10" i="8"/>
  <c r="U9" i="8"/>
  <c r="U10" i="8"/>
  <c r="T9" i="8"/>
  <c r="T10" i="8"/>
  <c r="S9" i="8"/>
  <c r="S10" i="8"/>
  <c r="R9" i="8"/>
  <c r="R10" i="8"/>
  <c r="Q9" i="8"/>
  <c r="Q10" i="8"/>
  <c r="P9" i="8"/>
  <c r="P10" i="8"/>
  <c r="O9" i="8"/>
  <c r="O10" i="8"/>
  <c r="N9" i="8"/>
  <c r="N10" i="8"/>
  <c r="M9" i="8"/>
  <c r="M10" i="8"/>
  <c r="L9" i="8"/>
  <c r="L10" i="8"/>
  <c r="K9" i="8"/>
  <c r="K10" i="8"/>
  <c r="J9" i="8"/>
  <c r="J10" i="8"/>
  <c r="I9" i="8"/>
  <c r="I10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C6" i="2"/>
  <c r="B3" i="2"/>
  <c r="I2" i="2"/>
  <c r="I6" i="2"/>
  <c r="B3" i="3"/>
  <c r="H2" i="3"/>
  <c r="H6" i="3"/>
  <c r="G14" i="3"/>
  <c r="B20" i="3"/>
  <c r="B8" i="3"/>
  <c r="G18" i="3"/>
  <c r="C20" i="3"/>
  <c r="D20" i="3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B13" i="3"/>
  <c r="C13" i="3"/>
  <c r="C6" i="3"/>
  <c r="H15" i="3"/>
  <c r="H17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Y17" i="3"/>
  <c r="Z15" i="3"/>
  <c r="Z17" i="3"/>
  <c r="Y27" i="3"/>
  <c r="Z27" i="3"/>
  <c r="H12" i="8"/>
  <c r="Y12" i="8"/>
  <c r="H9" i="8"/>
  <c r="H10" i="8"/>
  <c r="Y10" i="8"/>
  <c r="B18" i="8"/>
  <c r="B17" i="8"/>
  <c r="C26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C24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C25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B25" i="8"/>
  <c r="B15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Z30" i="8"/>
  <c r="C23" i="8"/>
  <c r="C41" i="8"/>
  <c r="C29" i="8"/>
  <c r="B23" i="8"/>
  <c r="B29" i="8"/>
  <c r="G29" i="8"/>
  <c r="B30" i="8"/>
  <c r="H29" i="8"/>
  <c r="C30" i="8"/>
  <c r="B31" i="8"/>
  <c r="C31" i="8"/>
  <c r="B40" i="8"/>
  <c r="B32" i="8"/>
  <c r="C33" i="8"/>
  <c r="B41" i="8"/>
  <c r="C40" i="8"/>
  <c r="B33" i="8"/>
  <c r="C32" i="8"/>
  <c r="B34" i="8" a="1"/>
  <c r="B34" i="8"/>
  <c r="C34" i="8"/>
  <c r="B35" i="8"/>
  <c r="C35" i="8"/>
  <c r="B36" i="8" a="1"/>
  <c r="B36" i="8"/>
  <c r="B37" i="8"/>
  <c r="C36" i="8"/>
  <c r="C37" i="8"/>
  <c r="B42" i="8" a="1"/>
  <c r="B42" i="8"/>
  <c r="C42" i="8"/>
  <c r="B43" i="8"/>
  <c r="C43" i="8"/>
  <c r="B45" i="8" a="1"/>
  <c r="B45" i="8"/>
  <c r="B46" i="8"/>
  <c r="C45" i="8"/>
  <c r="C46" i="8"/>
</calcChain>
</file>

<file path=xl/sharedStrings.xml><?xml version="1.0" encoding="utf-8"?>
<sst xmlns="http://schemas.openxmlformats.org/spreadsheetml/2006/main" count="302" uniqueCount="109">
  <si>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</si>
  <si>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</si>
  <si>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</si>
  <si>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</si>
  <si>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</si>
  <si>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</si>
  <si>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</si>
  <si>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</si>
  <si>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</si>
  <si>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</si>
  <si>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</si>
  <si>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</si>
  <si>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</si>
  <si>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</si>
  <si>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</si>
  <si>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</si>
  <si>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</si>
  <si>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</si>
  <si>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</si>
  <si>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</si>
  <si>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</si>
  <si>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</si>
  <si>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</si>
  <si>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</si>
  <si>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</si>
  <si>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</si>
  <si>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</si>
  <si>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</si>
  <si>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</si>
  <si>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</si>
  <si>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</si>
  <si>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</si>
  <si>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</si>
  <si>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</si>
  <si>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</si>
  <si>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</si>
  <si>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</si>
  <si>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</si>
  <si>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</si>
  <si>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</si>
  <si>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</si>
  <si>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</si>
  <si>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</si>
  <si>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</si>
  <si>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</si>
  <si>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</si>
  <si>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</si>
  <si>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</si>
  <si>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</si>
  <si>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</si>
  <si>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</si>
  <si>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</si>
  <si>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</si>
  <si>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</si>
  <si>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</si>
  <si>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</si>
  <si>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</si>
  <si>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</si>
  <si>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</si>
  <si>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</si>
  <si>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</si>
  <si>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</si>
  <si>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</si>
  <si>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</si>
  <si>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</si>
  <si>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</si>
  <si>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</si>
  <si>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</si>
  <si>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</si>
  <si>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</si>
  <si>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</si>
  <si>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</si>
  <si>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</si>
  <si>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</si>
  <si>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</si>
  <si>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</si>
  <si>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</si>
  <si>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</si>
  <si>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</si>
  <si>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</si>
  <si>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</si>
  <si>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</si>
  <si>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</si>
  <si>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</si>
  <si>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</si>
  <si>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</si>
  <si>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</si>
  <si>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</si>
  <si>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</si>
  <si>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</si>
  <si>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</si>
  <si>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</si>
  <si>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</si>
  <si>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</si>
  <si>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</si>
  <si>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</si>
  <si>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</si>
  <si>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</si>
  <si>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</si>
  <si>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</si>
  <si>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</si>
  <si>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</si>
  <si>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</si>
  <si>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</si>
  <si>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</si>
  <si>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</si>
  <si>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akdYe</t>
  </si>
  <si>
    <t>invJacobian</t>
  </si>
  <si>
    <t>fstp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</si>
</sst>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  <xf numFmtId="164" fontId="0" fillId="0" borderId="0" xfId="0" applyNumberFormat="1"/>
  </cellXfs>
  <cellStyles count="1909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540376"/>
        <c:axId val="-2122537400"/>
      </c:lineChart>
      <c:catAx>
        <c:axId val="-212254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537400"/>
        <c:crosses val="autoZero"/>
        <c:auto val="1"/>
        <c:lblAlgn val="ctr"/>
        <c:lblOffset val="100"/>
        <c:noMultiLvlLbl val="0"/>
      </c:catAx>
      <c:valAx>
        <c:axId val="-2122537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54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 Mar'!$G$6:$Z$6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 Mar'!$G$7:$Z$7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 Mar'!$F$3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 Mar'!$G$3:$Z$3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487992"/>
        <c:axId val="-2122485016"/>
      </c:lineChart>
      <c:catAx>
        <c:axId val="-2122487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485016"/>
        <c:crosses val="autoZero"/>
        <c:auto val="1"/>
        <c:lblAlgn val="ctr"/>
        <c:lblOffset val="100"/>
        <c:noMultiLvlLbl val="0"/>
      </c:catAx>
      <c:valAx>
        <c:axId val="-212248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487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439048"/>
        <c:axId val="-2122436072"/>
      </c:lineChart>
      <c:catAx>
        <c:axId val="-2122439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436072"/>
        <c:crosses val="autoZero"/>
        <c:auto val="1"/>
        <c:lblAlgn val="ctr"/>
        <c:lblOffset val="100"/>
        <c:noMultiLvlLbl val="0"/>
      </c:catAx>
      <c:valAx>
        <c:axId val="-2122436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439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87992"/>
        <c:axId val="-2122385000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78664"/>
        <c:axId val="-2122381960"/>
      </c:scatterChart>
      <c:valAx>
        <c:axId val="-2122387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385000"/>
        <c:crosses val="autoZero"/>
        <c:crossBetween val="midCat"/>
      </c:valAx>
      <c:valAx>
        <c:axId val="-2122385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387992"/>
        <c:crosses val="autoZero"/>
        <c:crossBetween val="midCat"/>
      </c:valAx>
      <c:valAx>
        <c:axId val="-2122381960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2378664"/>
        <c:crosses val="max"/>
        <c:crossBetween val="midCat"/>
      </c:valAx>
      <c:valAx>
        <c:axId val="-2122378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2381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300328"/>
        <c:axId val="-2123303320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309656"/>
        <c:axId val="-2123306360"/>
      </c:scatterChart>
      <c:valAx>
        <c:axId val="-212330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303320"/>
        <c:crosses val="autoZero"/>
        <c:crossBetween val="midCat"/>
      </c:valAx>
      <c:valAx>
        <c:axId val="-212330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300328"/>
        <c:crosses val="autoZero"/>
        <c:crossBetween val="midCat"/>
      </c:valAx>
      <c:valAx>
        <c:axId val="-2123306360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3309656"/>
        <c:crosses val="max"/>
        <c:crossBetween val="midCat"/>
      </c:valAx>
      <c:valAx>
        <c:axId val="-2123309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3306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9" workbookViewId="0">
      <pane xSplit="6" topLeftCell="G1" activePane="topRight" state="frozen"/>
      <selection activeCell="A13" sqref="A13"/>
      <selection pane="topRight" activeCell="B41" sqref="B41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pane xSplit="6" topLeftCell="G1" activePane="topRight" state="frozen"/>
      <selection activeCell="A13" sqref="A13"/>
      <selection pane="topRight" activeCell="Z19" sqref="Z19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0.22198504671239971</v>
      </c>
      <c r="C6" s="12">
        <f>B6+dh</f>
        <v>0.22198604671239971</v>
      </c>
      <c r="D6" s="12">
        <f>B6-dh</f>
        <v>0.22198404671239971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0.22198504671239971</v>
      </c>
      <c r="C7" s="12">
        <f>B7</f>
        <v>0.22198504671239971</v>
      </c>
      <c r="D7" s="12">
        <f>C7</f>
        <v>0.22198504671239971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0.3001647538788268</v>
      </c>
      <c r="H8">
        <f t="shared" si="6"/>
        <v>0.30166105125303944</v>
      </c>
      <c r="I8">
        <f t="shared" si="6"/>
        <v>0.31756919330186456</v>
      </c>
      <c r="J8">
        <f t="shared" si="6"/>
        <v>0.41400639589816735</v>
      </c>
      <c r="K8">
        <f t="shared" si="6"/>
        <v>0.51720239799642365</v>
      </c>
      <c r="L8">
        <f t="shared" si="6"/>
        <v>0.56341378719340385</v>
      </c>
      <c r="M8">
        <f t="shared" si="6"/>
        <v>0.63285486147706049</v>
      </c>
      <c r="N8">
        <f t="shared" si="6"/>
        <v>0.70104556247072436</v>
      </c>
      <c r="O8">
        <f t="shared" si="6"/>
        <v>0.73191253324704664</v>
      </c>
      <c r="P8">
        <f t="shared" si="6"/>
        <v>0.74095615297711181</v>
      </c>
      <c r="Q8">
        <f t="shared" si="6"/>
        <v>0.74324027618442579</v>
      </c>
      <c r="R8">
        <f t="shared" si="6"/>
        <v>0.74379475453928123</v>
      </c>
      <c r="S8">
        <f t="shared" si="6"/>
        <v>0.74392804809995428</v>
      </c>
      <c r="T8">
        <f t="shared" si="6"/>
        <v>0.74396001577371207</v>
      </c>
      <c r="U8">
        <f t="shared" si="6"/>
        <v>0.74396767822238874</v>
      </c>
      <c r="V8">
        <f t="shared" si="6"/>
        <v>0.74396951461429017</v>
      </c>
      <c r="W8">
        <f t="shared" si="6"/>
        <v>0.74396995471198923</v>
      </c>
      <c r="X8">
        <f t="shared" si="6"/>
        <v>0.7439700601821152</v>
      </c>
      <c r="Y8">
        <f t="shared" si="6"/>
        <v>0.74397008545815491</v>
      </c>
      <c r="Z8">
        <f t="shared" si="6"/>
        <v>0.7439700915155848</v>
      </c>
    </row>
    <row r="9" spans="1:26">
      <c r="F9" s="7" t="s">
        <v>60</v>
      </c>
      <c r="G9" s="7">
        <f t="shared" ref="G9:Z9" si="7">EXP(-za)</f>
        <v>0.74069617806012866</v>
      </c>
      <c r="H9" s="7">
        <f t="shared" si="7"/>
        <v>0.73958870507489516</v>
      </c>
      <c r="I9" s="7">
        <f t="shared" si="7"/>
        <v>0.72791631209862906</v>
      </c>
      <c r="J9" s="7">
        <f t="shared" si="7"/>
        <v>0.66099672358465955</v>
      </c>
      <c r="K9" s="7">
        <f t="shared" si="7"/>
        <v>0.59618610854786458</v>
      </c>
      <c r="L9" s="7">
        <f t="shared" si="7"/>
        <v>0.56926240229655334</v>
      </c>
      <c r="M9" s="7">
        <f t="shared" si="7"/>
        <v>0.53107349350122179</v>
      </c>
      <c r="N9" s="7">
        <f t="shared" si="7"/>
        <v>0.49606636417342198</v>
      </c>
      <c r="O9" s="7">
        <f t="shared" si="7"/>
        <v>0.48098820392235364</v>
      </c>
      <c r="P9" s="7">
        <f t="shared" si="7"/>
        <v>0.47665793965636655</v>
      </c>
      <c r="Q9" s="7">
        <f t="shared" si="7"/>
        <v>0.47557043666267168</v>
      </c>
      <c r="R9" s="7">
        <f t="shared" si="7"/>
        <v>0.47530681624199572</v>
      </c>
      <c r="S9" s="7">
        <f t="shared" si="7"/>
        <v>0.47524346512628834</v>
      </c>
      <c r="T9" s="7">
        <f t="shared" si="7"/>
        <v>0.4752282729410704</v>
      </c>
      <c r="U9" s="7">
        <f t="shared" si="7"/>
        <v>0.47522463154277034</v>
      </c>
      <c r="V9" s="7">
        <f t="shared" si="7"/>
        <v>0.47522375884490692</v>
      </c>
      <c r="W9" s="7">
        <f t="shared" si="7"/>
        <v>0.47522354970007014</v>
      </c>
      <c r="X9" s="7">
        <f t="shared" si="7"/>
        <v>0.4752234995781851</v>
      </c>
      <c r="Y9" s="7">
        <f t="shared" si="7"/>
        <v>0.47522348756641719</v>
      </c>
      <c r="Z9" s="7">
        <f t="shared" si="7"/>
        <v>0.47522348468778425</v>
      </c>
    </row>
    <row r="10" spans="1:26">
      <c r="A10" t="s">
        <v>68</v>
      </c>
      <c r="B10">
        <v>0.4</v>
      </c>
      <c r="C10">
        <f>1-B10</f>
        <v>0.6</v>
      </c>
      <c r="F10" t="s">
        <v>61</v>
      </c>
      <c r="G10">
        <f t="shared" ref="G10:Z10" si="8">1-sa</f>
        <v>0.25930382193987134</v>
      </c>
      <c r="H10">
        <f t="shared" si="8"/>
        <v>0.26041129492510484</v>
      </c>
      <c r="I10">
        <f t="shared" si="8"/>
        <v>0.27208368790137094</v>
      </c>
      <c r="J10">
        <f t="shared" si="8"/>
        <v>0.33900327641534045</v>
      </c>
      <c r="K10">
        <f t="shared" si="8"/>
        <v>0.40381389145213542</v>
      </c>
      <c r="L10">
        <f t="shared" si="8"/>
        <v>0.43073759770344666</v>
      </c>
      <c r="M10">
        <f t="shared" si="8"/>
        <v>0.46892650649877821</v>
      </c>
      <c r="N10">
        <f t="shared" si="8"/>
        <v>0.50393363582657802</v>
      </c>
      <c r="O10">
        <f t="shared" si="8"/>
        <v>0.51901179607764636</v>
      </c>
      <c r="P10">
        <f t="shared" si="8"/>
        <v>0.5233420603436334</v>
      </c>
      <c r="Q10">
        <f t="shared" si="8"/>
        <v>0.52442956333732837</v>
      </c>
      <c r="R10">
        <f t="shared" si="8"/>
        <v>0.52469318375800422</v>
      </c>
      <c r="S10">
        <f t="shared" si="8"/>
        <v>0.52475653487371166</v>
      </c>
      <c r="T10">
        <f t="shared" si="8"/>
        <v>0.5247717270589296</v>
      </c>
      <c r="U10">
        <f t="shared" si="8"/>
        <v>0.52477536845722961</v>
      </c>
      <c r="V10">
        <f t="shared" si="8"/>
        <v>0.52477624115509314</v>
      </c>
      <c r="W10">
        <f t="shared" si="8"/>
        <v>0.52477645029992992</v>
      </c>
      <c r="X10">
        <f t="shared" si="8"/>
        <v>0.5247765004218149</v>
      </c>
      <c r="Y10">
        <f t="shared" si="8"/>
        <v>0.52477651243358281</v>
      </c>
      <c r="Z10">
        <f t="shared" si="8"/>
        <v>0.5247765153122157</v>
      </c>
    </row>
    <row r="11" spans="1:26">
      <c r="F11" t="s">
        <v>40</v>
      </c>
      <c r="G11">
        <f t="shared" ref="G11:Z11" si="9">wa*G6/za*(1-EXP(-za))</f>
        <v>2.8442833903233952E-6</v>
      </c>
      <c r="H11">
        <f t="shared" si="9"/>
        <v>2.0702812615141169E-4</v>
      </c>
      <c r="I11">
        <f>wa*I6/za*(1-EXP(-za))</f>
        <v>5.9695312604443451E-3</v>
      </c>
      <c r="J11">
        <f t="shared" si="9"/>
        <v>6.8366532256935564E-2</v>
      </c>
      <c r="K11">
        <f t="shared" si="9"/>
        <v>0.1822464573414547</v>
      </c>
      <c r="L11">
        <f t="shared" si="9"/>
        <v>0.2591423262633164</v>
      </c>
      <c r="M11">
        <f t="shared" si="9"/>
        <v>0.31669603389935391</v>
      </c>
      <c r="N11">
        <f t="shared" si="9"/>
        <v>0.36541384875993488</v>
      </c>
      <c r="O11">
        <f t="shared" si="9"/>
        <v>0.41239121198241591</v>
      </c>
      <c r="P11">
        <f t="shared" si="9"/>
        <v>0.45660031959900554</v>
      </c>
      <c r="Q11">
        <f t="shared" si="9"/>
        <v>0.4960799257272403</v>
      </c>
      <c r="R11">
        <f t="shared" si="9"/>
        <v>0.53033239800175513</v>
      </c>
      <c r="S11">
        <f t="shared" si="9"/>
        <v>0.55959638548245694</v>
      </c>
      <c r="T11">
        <f t="shared" si="9"/>
        <v>0.58436086892961103</v>
      </c>
      <c r="U11">
        <f t="shared" si="9"/>
        <v>0.60517667908113149</v>
      </c>
      <c r="V11">
        <f t="shared" si="9"/>
        <v>0.62258388067067572</v>
      </c>
      <c r="W11">
        <f t="shared" si="9"/>
        <v>0.63708201072048454</v>
      </c>
      <c r="X11">
        <f t="shared" si="9"/>
        <v>0.64911835948583985</v>
      </c>
      <c r="Y11">
        <f t="shared" si="9"/>
        <v>0.65908502970573268</v>
      </c>
      <c r="Z11">
        <f t="shared" si="9"/>
        <v>0.66732060052832298</v>
      </c>
    </row>
    <row r="12" spans="1:26">
      <c r="G12">
        <f t="shared" ref="G12:Z12" si="10">wa*G7/za*(1-EXP(-za))</f>
        <v>9.7457489140442438E-7</v>
      </c>
      <c r="H12">
        <f t="shared" si="10"/>
        <v>2.4432707030000494E-5</v>
      </c>
      <c r="I12">
        <f t="shared" si="10"/>
        <v>2.5871695592476386E-4</v>
      </c>
      <c r="J12">
        <f t="shared" si="10"/>
        <v>1.8564134603684685E-3</v>
      </c>
      <c r="K12">
        <f t="shared" si="10"/>
        <v>1.0710910517549034E-2</v>
      </c>
      <c r="L12">
        <f t="shared" si="10"/>
        <v>5.043530546779787E-2</v>
      </c>
      <c r="M12">
        <f t="shared" si="10"/>
        <v>0.1584355967628957</v>
      </c>
      <c r="N12">
        <f t="shared" si="10"/>
        <v>0.29478492558027752</v>
      </c>
      <c r="O12">
        <f t="shared" si="10"/>
        <v>0.38999435170352448</v>
      </c>
      <c r="P12">
        <f t="shared" si="10"/>
        <v>0.45040123276206284</v>
      </c>
      <c r="Q12">
        <f t="shared" si="10"/>
        <v>0.49444899532669961</v>
      </c>
      <c r="R12">
        <f t="shared" si="10"/>
        <v>0.52991350759500733</v>
      </c>
      <c r="S12">
        <f t="shared" si="10"/>
        <v>0.55949039469556361</v>
      </c>
      <c r="T12">
        <f t="shared" si="10"/>
        <v>0.58433434019972386</v>
      </c>
      <c r="U12">
        <f t="shared" si="10"/>
        <v>0.60517009474633232</v>
      </c>
      <c r="V12">
        <f t="shared" si="10"/>
        <v>0.62258225732679484</v>
      </c>
      <c r="W12">
        <f t="shared" si="10"/>
        <v>0.63708161262414797</v>
      </c>
      <c r="X12">
        <f t="shared" si="10"/>
        <v>0.64911826227912783</v>
      </c>
      <c r="Y12">
        <f t="shared" si="10"/>
        <v>0.65908500605235476</v>
      </c>
      <c r="Z12">
        <f t="shared" si="10"/>
        <v>0.66732059478893513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0.74069617806012866</v>
      </c>
      <c r="I14">
        <f t="shared" ref="I14:Y14" si="11">H14*EXP(-m-SUMPRODUCT(H$6:H$7,$B$6:$B$7))</f>
        <v>0.54781052718541456</v>
      </c>
      <c r="J14">
        <f t="shared" si="11"/>
        <v>0.39876021867761274</v>
      </c>
      <c r="K14">
        <f t="shared" si="11"/>
        <v>0.26357919804180441</v>
      </c>
      <c r="L14">
        <f t="shared" si="11"/>
        <v>0.1571422563747103</v>
      </c>
      <c r="M14">
        <f t="shared" si="11"/>
        <v>8.9455178366168453E-2</v>
      </c>
      <c r="N14">
        <f t="shared" si="11"/>
        <v>4.7507274086696E-2</v>
      </c>
      <c r="O14">
        <f t="shared" si="11"/>
        <v>2.3566760727977511E-2</v>
      </c>
      <c r="P14">
        <f t="shared" si="11"/>
        <v>1.1335333914817763E-2</v>
      </c>
      <c r="Q14">
        <f t="shared" si="11"/>
        <v>5.4030769091539706E-3</v>
      </c>
      <c r="R14">
        <f t="shared" si="11"/>
        <v>2.5695436450083524E-3</v>
      </c>
      <c r="S14">
        <f t="shared" si="11"/>
        <v>1.2213216091037729E-3</v>
      </c>
      <c r="T14">
        <f t="shared" si="11"/>
        <v>5.804251135440912E-4</v>
      </c>
      <c r="U14">
        <f t="shared" si="11"/>
        <v>2.7583442428118313E-4</v>
      </c>
      <c r="V14">
        <f t="shared" si="11"/>
        <v>1.3108331264583743E-4</v>
      </c>
      <c r="W14">
        <f t="shared" si="11"/>
        <v>6.2293904557396984E-5</v>
      </c>
      <c r="X14">
        <f t="shared" si="11"/>
        <v>2.960353044844357E-5</v>
      </c>
      <c r="Y14">
        <f t="shared" si="11"/>
        <v>1.4068293339578713E-5</v>
      </c>
      <c r="Z14">
        <f>Y14*EXP(-m-SUMPRODUCT(Y$6:Y$7,$B$6:$B$7))/(1-EXP(-m-SUMPRODUCT(B$6:B$7,Z6:Z7)))</f>
        <v>1.273986779108133E-5</v>
      </c>
    </row>
    <row r="15" spans="1:26">
      <c r="A15" t="s">
        <v>105</v>
      </c>
      <c r="B15">
        <f>phif/phie</f>
        <v>0.39514573861617147</v>
      </c>
      <c r="F15" t="s">
        <v>26</v>
      </c>
      <c r="G15">
        <f>1</f>
        <v>1</v>
      </c>
      <c r="H15">
        <f>G15*EXP(-m-SUMPRODUCT(G$6:G$7,$C$6:$C$7))</f>
        <v>0.74069617765068774</v>
      </c>
      <c r="I15">
        <f t="shared" ref="I15:Y15" si="12">H15*EXP(-m-SUMPRODUCT(H$6:H$7,$C$6:$C$7))</f>
        <v>0.54781052321618251</v>
      </c>
      <c r="J15">
        <f t="shared" si="12"/>
        <v>0.39876018553912085</v>
      </c>
      <c r="K15">
        <f t="shared" si="12"/>
        <v>0.26357904434781471</v>
      </c>
      <c r="L15">
        <f t="shared" si="12"/>
        <v>0.15714201952290968</v>
      </c>
      <c r="M15">
        <f t="shared" si="12"/>
        <v>8.9454954679053303E-2</v>
      </c>
      <c r="N15">
        <f t="shared" si="12"/>
        <v>4.7507107811527685E-2</v>
      </c>
      <c r="O15">
        <f t="shared" si="12"/>
        <v>2.3566654678862726E-2</v>
      </c>
      <c r="P15">
        <f t="shared" si="12"/>
        <v>1.1335271571209518E-2</v>
      </c>
      <c r="Q15">
        <f t="shared" si="12"/>
        <v>5.4030417895352756E-3</v>
      </c>
      <c r="R15">
        <f t="shared" si="12"/>
        <v>2.5695243736303603E-3</v>
      </c>
      <c r="S15">
        <f t="shared" si="12"/>
        <v>1.2213112279746187E-3</v>
      </c>
      <c r="T15">
        <f t="shared" si="12"/>
        <v>5.8041959956041042E-4</v>
      </c>
      <c r="U15">
        <f t="shared" si="12"/>
        <v>2.7583152804857555E-4</v>
      </c>
      <c r="V15">
        <f t="shared" si="12"/>
        <v>1.310818052028929E-4</v>
      </c>
      <c r="W15">
        <f t="shared" si="12"/>
        <v>6.2293125891537613E-5</v>
      </c>
      <c r="X15">
        <f t="shared" si="12"/>
        <v>2.9603130804944239E-5</v>
      </c>
      <c r="Y15">
        <f t="shared" si="12"/>
        <v>1.4068089351499991E-5</v>
      </c>
      <c r="Z15">
        <f>Y15*EXP(-m-SUMPRODUCT(Y$6:Y$7,$C$6:$C$7))/(1-EXP(-m-SUMPRODUCT(C$6:C$7,Z6:Z7)))</f>
        <v>1.2739658788604744E-5</v>
      </c>
    </row>
    <row r="16" spans="1:26">
      <c r="F16" t="s">
        <v>66</v>
      </c>
      <c r="G16">
        <f>1</f>
        <v>1</v>
      </c>
      <c r="H16">
        <f>G16*EXP(-m-SUMPRODUCT(G$6:G$7,$D$6:$D$7))</f>
        <v>0.7406961784695697</v>
      </c>
      <c r="I16">
        <f t="shared" ref="I16:Y16" si="13">H16*EXP(-m-SUMPRODUCT(H$6:H$7,$D$6:$D$7))</f>
        <v>0.54781053115464673</v>
      </c>
      <c r="J16">
        <f t="shared" si="13"/>
        <v>0.39876025181610741</v>
      </c>
      <c r="K16">
        <f t="shared" si="13"/>
        <v>0.2635793517358837</v>
      </c>
      <c r="L16">
        <f t="shared" si="13"/>
        <v>0.15714249322686794</v>
      </c>
      <c r="M16">
        <f t="shared" si="13"/>
        <v>8.9455402053842947E-2</v>
      </c>
      <c r="N16">
        <f t="shared" si="13"/>
        <v>4.7507440362446286E-2</v>
      </c>
      <c r="O16">
        <f t="shared" si="13"/>
        <v>2.3566866777569518E-2</v>
      </c>
      <c r="P16">
        <f t="shared" si="13"/>
        <v>1.1335396258768896E-2</v>
      </c>
      <c r="Q16">
        <f t="shared" si="13"/>
        <v>5.4031120290009421E-3</v>
      </c>
      <c r="R16">
        <f t="shared" si="13"/>
        <v>2.569562916530879E-3</v>
      </c>
      <c r="S16">
        <f t="shared" si="13"/>
        <v>1.2213319903211664E-3</v>
      </c>
      <c r="T16">
        <f t="shared" si="13"/>
        <v>5.8043062758015489E-4</v>
      </c>
      <c r="U16">
        <f t="shared" si="13"/>
        <v>2.7583732054420123E-4</v>
      </c>
      <c r="V16">
        <f t="shared" si="13"/>
        <v>1.310848201061176E-4</v>
      </c>
      <c r="W16">
        <f t="shared" si="13"/>
        <v>6.2294683232989712E-5</v>
      </c>
      <c r="X16">
        <f t="shared" si="13"/>
        <v>2.9603930097338107E-5</v>
      </c>
      <c r="Y16">
        <f t="shared" si="13"/>
        <v>1.4068497330615273E-5</v>
      </c>
      <c r="Z16">
        <f>Y16*EXP(-m-SUMPRODUCT(Y$6:Y$7,$D$6:$D$7))/(1-EXP(-m-SUMPRODUCT(D$6:D$7,Z6:Z7)))</f>
        <v>1.2740076797008714E-5</v>
      </c>
    </row>
    <row r="17" spans="1:26">
      <c r="A17" t="s">
        <v>51</v>
      </c>
      <c r="B17">
        <f>ro*(reck-phie/phif)/(reck-1)</f>
        <v>0.86084437800731195</v>
      </c>
      <c r="F17" s="3" t="s">
        <v>31</v>
      </c>
      <c r="G17" s="3">
        <f>(G15-G16)/(2*dh)</f>
        <v>0</v>
      </c>
      <c r="H17" s="3">
        <f>(H15-H16)/(2*dh)</f>
        <v>-4.0944098111950211E-4</v>
      </c>
      <c r="I17" s="3">
        <f>(I15-I16)/(2*dh)</f>
        <v>-3.9692321096573835E-3</v>
      </c>
      <c r="J17" s="3">
        <f>(J15-J16)/(2*dh)</f>
        <v>-3.3138493282791615E-2</v>
      </c>
      <c r="K17" s="3">
        <f>(K15-K16)/(2*dh)</f>
        <v>-0.15369403449927432</v>
      </c>
      <c r="L17" s="3">
        <f>(L15-L16)/(2*dh)</f>
        <v>-0.23685197912681755</v>
      </c>
      <c r="M17" s="3">
        <f>(M15-M16)/(2*dh)</f>
        <v>-0.2236873948222029</v>
      </c>
      <c r="N17" s="3">
        <f>(N15-N16)/(2*dh)</f>
        <v>-0.16627545930056331</v>
      </c>
      <c r="O17" s="3">
        <f>(O15-O16)/(2*dh)</f>
        <v>-0.10604935339608712</v>
      </c>
      <c r="P17" s="3">
        <f>(P15-P16)/(2*dh)</f>
        <v>-6.2343779689069678E-2</v>
      </c>
      <c r="Q17" s="3">
        <f>(Q15-Q16)/(2*dh)</f>
        <v>-3.5119732833249068E-2</v>
      </c>
      <c r="R17" s="3">
        <f>(R15-R16)/(2*dh)</f>
        <v>-1.9271450259379652E-2</v>
      </c>
      <c r="S17" s="3">
        <f>(S15-S16)/(2*dh)</f>
        <v>-1.0381173273874694E-2</v>
      </c>
      <c r="T17" s="3">
        <f>(T15-T16)/(2*dh)</f>
        <v>-5.5140098722335391E-3</v>
      </c>
      <c r="U17" s="3">
        <f>(U15-U16)/(2*dh)</f>
        <v>-2.8962478128399718E-3</v>
      </c>
      <c r="V17" s="3">
        <f>(V15-V16)/(2*dh)</f>
        <v>-1.5074516123488469E-3</v>
      </c>
      <c r="W17" s="3">
        <f>(W15-W16)/(2*dh)</f>
        <v>-7.7867072604951475E-4</v>
      </c>
      <c r="X17" s="3">
        <f>(X15-X16)/(2*dh)</f>
        <v>-3.9964619693411791E-4</v>
      </c>
      <c r="Y17" s="3">
        <f>(Y15-Y16)/(2*dh)</f>
        <v>-2.0398955764115587E-4</v>
      </c>
      <c r="Z17" s="3">
        <f>(Z15-Z16)/(2*dh)</f>
        <v>-2.0900420198481336E-4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>G18*EXP(-G8) - G14*G6*EXP(-G8)</f>
        <v>-4.0944102368259768E-4</v>
      </c>
      <c r="I18">
        <f t="shared" ref="H18:Y18" si="14">H18*EXP(-H8) - H14*H6*EXP(-H8)</f>
        <v>-3.9692321497158279E-3</v>
      </c>
      <c r="J18">
        <f t="shared" si="14"/>
        <v>-3.3138493282041256E-2</v>
      </c>
      <c r="K18">
        <f t="shared" si="14"/>
        <v>-0.15369403450486374</v>
      </c>
      <c r="L18">
        <f t="shared" si="14"/>
        <v>-0.23685197914016906</v>
      </c>
      <c r="M18">
        <f t="shared" si="14"/>
        <v>-0.22368739482698413</v>
      </c>
      <c r="N18">
        <f t="shared" si="14"/>
        <v>-0.16627545930343599</v>
      </c>
      <c r="O18">
        <f t="shared" si="14"/>
        <v>-0.10604935339518952</v>
      </c>
      <c r="P18">
        <f t="shared" si="14"/>
        <v>-6.2343779688796258E-2</v>
      </c>
      <c r="Q18">
        <f t="shared" si="14"/>
        <v>-3.5119732833192766E-2</v>
      </c>
      <c r="R18">
        <f t="shared" si="14"/>
        <v>-1.9271450259444985E-2</v>
      </c>
      <c r="S18">
        <f t="shared" si="14"/>
        <v>-1.038117327376922E-2</v>
      </c>
      <c r="T18">
        <f t="shared" si="14"/>
        <v>-5.5140098721483885E-3</v>
      </c>
      <c r="U18">
        <f t="shared" si="14"/>
        <v>-2.8962478127984434E-3</v>
      </c>
      <c r="V18">
        <f t="shared" si="14"/>
        <v>-1.5074516123393827E-3</v>
      </c>
      <c r="W18">
        <f t="shared" si="14"/>
        <v>-7.7867072605012808E-4</v>
      </c>
      <c r="X18">
        <f t="shared" si="14"/>
        <v>-3.9964619692951607E-4</v>
      </c>
      <c r="Y18">
        <f t="shared" si="14"/>
        <v>-2.0398955763753585E-4</v>
      </c>
      <c r="Z18">
        <f>(Y18-Y$14*Y6)*Y$9/oa-Y14*Y$9*Z6*sa/oa^2</f>
        <v>-2.0900420197627822E-4</v>
      </c>
    </row>
    <row r="19" spans="1:26">
      <c r="A19" t="s">
        <v>38</v>
      </c>
      <c r="B19">
        <f>SUMPRODUCT(lz,fa)</f>
        <v>0.21128000131241101</v>
      </c>
      <c r="F19" t="s">
        <v>34</v>
      </c>
      <c r="G19">
        <v>0</v>
      </c>
      <c r="H19">
        <f t="shared" ref="H19:Y19" si="15">G19*EXP(-G8) - G14*G7*EXP(-G8)</f>
        <v>-1.4029225869318672E-4</v>
      </c>
      <c r="I19">
        <f t="shared" si="15"/>
        <v>-5.364554478873814E-4</v>
      </c>
      <c r="J19">
        <f t="shared" si="15"/>
        <v>-1.7014832444243913E-3</v>
      </c>
      <c r="K19">
        <f t="shared" si="15"/>
        <v>-4.7032677297110456E-3</v>
      </c>
      <c r="L19">
        <f t="shared" si="15"/>
        <v>-1.1338932076398465E-2</v>
      </c>
      <c r="M19">
        <f t="shared" si="15"/>
        <v>-2.3748425330945577E-2</v>
      </c>
      <c r="N19">
        <f t="shared" si="15"/>
        <v>-3.6365796249006176E-2</v>
      </c>
      <c r="O19">
        <f t="shared" si="15"/>
        <v>-3.7050650587757611E-2</v>
      </c>
      <c r="P19">
        <f t="shared" si="15"/>
        <v>-2.8540600787560148E-2</v>
      </c>
      <c r="Q19">
        <f t="shared" si="15"/>
        <v>-1.8933823750671017E-2</v>
      </c>
      <c r="R19">
        <f t="shared" si="15"/>
        <v>-1.1565462684387866E-2</v>
      </c>
      <c r="S19">
        <f t="shared" si="15"/>
        <v>-6.7175001756428366E-3</v>
      </c>
      <c r="T19">
        <f t="shared" si="15"/>
        <v>-3.7727632380365928E-3</v>
      </c>
      <c r="U19">
        <f t="shared" si="15"/>
        <v>-2.0687456598138965E-3</v>
      </c>
      <c r="V19">
        <f t="shared" si="15"/>
        <v>-1.1142007803972966E-3</v>
      </c>
      <c r="W19">
        <f t="shared" si="15"/>
        <v>-5.9178842509872835E-4</v>
      </c>
      <c r="X19">
        <f t="shared" si="15"/>
        <v>-3.1083530799678224E-4</v>
      </c>
      <c r="Y19">
        <f t="shared" si="15"/>
        <v>-1.6178453409151881E-4</v>
      </c>
      <c r="Z19">
        <f>(Y19-Y$14*Y7)*Y$9/oa-Y15*Y$9*Z7*sa/oa^2</f>
        <v>-1.7078430078916218E-4</v>
      </c>
    </row>
    <row r="20" spans="1:26">
      <c r="A20" t="s">
        <v>49</v>
      </c>
      <c r="B20">
        <f>B6</f>
        <v>0.22198504671239971</v>
      </c>
      <c r="C20">
        <f>B7</f>
        <v>0.22198504671239971</v>
      </c>
      <c r="F20" s="4" t="s">
        <v>58</v>
      </c>
      <c r="G20" s="4">
        <v>0</v>
      </c>
      <c r="H20" s="4">
        <f t="shared" ref="H20:Y21" si="16">G20*EXP(-G$8)+G$14*G6^2*EXP(-G$8)</f>
        <v>2.2633025097186959E-7</v>
      </c>
      <c r="I20" s="4">
        <f t="shared" si="16"/>
        <v>2.470615491904462E-5</v>
      </c>
      <c r="J20" s="4">
        <f t="shared" si="16"/>
        <v>2.3126351272908935E-3</v>
      </c>
      <c r="K20" s="4">
        <f t="shared" si="16"/>
        <v>6.7423443752437168E-2</v>
      </c>
      <c r="L20" s="4">
        <f t="shared" si="16"/>
        <v>0.17440239515920308</v>
      </c>
      <c r="M20" s="4">
        <f t="shared" si="16"/>
        <v>0.18754249153228519</v>
      </c>
      <c r="N20" s="4">
        <f t="shared" si="16"/>
        <v>0.14705361274876602</v>
      </c>
      <c r="O20" s="4">
        <f t="shared" si="16"/>
        <v>9.6512972029975996E-2</v>
      </c>
      <c r="P20" s="4">
        <f t="shared" si="16"/>
        <v>5.7756850501480363E-2</v>
      </c>
      <c r="Q20" s="4">
        <f t="shared" si="16"/>
        <v>3.293333496460437E-2</v>
      </c>
      <c r="R20" s="4">
        <f t="shared" si="16"/>
        <v>1.823166400584085E-2</v>
      </c>
      <c r="S20" s="4">
        <f t="shared" si="16"/>
        <v>9.8869557774791152E-3</v>
      </c>
      <c r="T20" s="4">
        <f t="shared" si="16"/>
        <v>5.2791362365872379E-3</v>
      </c>
      <c r="U20" s="4">
        <f t="shared" si="16"/>
        <v>2.784629220607497E-3</v>
      </c>
      <c r="V20" s="4">
        <f t="shared" si="16"/>
        <v>1.454407707991968E-3</v>
      </c>
      <c r="W20" s="4">
        <f t="shared" si="16"/>
        <v>7.534630024423341E-4</v>
      </c>
      <c r="X20" s="4">
        <f t="shared" si="16"/>
        <v>3.8766689303676173E-4</v>
      </c>
      <c r="Y20" s="4">
        <f t="shared" si="16"/>
        <v>1.9829671091911057E-4</v>
      </c>
      <c r="Z20" s="4">
        <f>Y20*Y9/oa+2*Y$14*(Y6)*Y$9*sa/oa^2 + 2*Y$14*Y$9*Z6^2*sa^2/oa^3 +Y$14*Y$9*Z6^2*sa/oa^2</f>
        <v>2.3507778626202615E-4</v>
      </c>
    </row>
    <row r="21" spans="1:26">
      <c r="A21" t="s">
        <v>48</v>
      </c>
      <c r="B21">
        <f>SUMPRODUCT(fa,G18:Z18)</f>
        <v>-0.45906729022292792</v>
      </c>
      <c r="C21">
        <f>SUMPRODUCT(fa,G19:Z19)</f>
        <v>-0.10805055977168247</v>
      </c>
      <c r="F21" s="4" t="s">
        <v>59</v>
      </c>
      <c r="G21" s="4">
        <v>0</v>
      </c>
      <c r="H21" s="4">
        <f t="shared" si="16"/>
        <v>2.6572187669150196E-8</v>
      </c>
      <c r="I21" s="4">
        <f t="shared" si="16"/>
        <v>3.614250168564176E-7</v>
      </c>
      <c r="J21" s="4">
        <f t="shared" si="16"/>
        <v>4.5731736748576282E-6</v>
      </c>
      <c r="K21" s="4">
        <f t="shared" si="16"/>
        <v>5.1609111121509116E-5</v>
      </c>
      <c r="L21" s="4">
        <f t="shared" si="16"/>
        <v>4.9432742944271915E-4</v>
      </c>
      <c r="M21" s="4">
        <f t="shared" si="16"/>
        <v>3.6246240002611408E-3</v>
      </c>
      <c r="N21" s="4">
        <f t="shared" si="16"/>
        <v>1.3801760252121058E-2</v>
      </c>
      <c r="O21" s="4">
        <f t="shared" si="16"/>
        <v>2.2182196955327207E-2</v>
      </c>
      <c r="P21" s="4">
        <f t="shared" si="16"/>
        <v>2.0806829423704515E-2</v>
      </c>
      <c r="Q21" s="4">
        <f t="shared" si="16"/>
        <v>1.5175099063778792E-2</v>
      </c>
      <c r="R21" s="4">
        <f t="shared" si="16"/>
        <v>9.7695043277976762E-3</v>
      </c>
      <c r="S21" s="4">
        <f t="shared" si="16"/>
        <v>5.8629050086939569E-3</v>
      </c>
      <c r="T21" s="4">
        <f t="shared" si="16"/>
        <v>3.3665125544717033E-3</v>
      </c>
      <c r="U21" s="4">
        <f t="shared" si="16"/>
        <v>1.8756713273557332E-3</v>
      </c>
      <c r="V21" s="4">
        <f t="shared" si="16"/>
        <v>1.0224456757207112E-3</v>
      </c>
      <c r="W21" s="4">
        <f t="shared" si="16"/>
        <v>5.4818405693453636E-4</v>
      </c>
      <c r="X21" s="4">
        <f t="shared" si="16"/>
        <v>2.9011346687688469E-4</v>
      </c>
      <c r="Y21" s="4">
        <f t="shared" si="16"/>
        <v>1.5193702613006452E-4</v>
      </c>
      <c r="Z21" s="4">
        <f>Y21*EXP(-Y$8)/oa+2*Y$14*(Y7)*Y$9*sa/oa^2 + 2*Y$14*Y$9*Z7^2*sa^2/oa^3 +Y$14*Y$9*Z7^2*sa/oa^2</f>
        <v>1.9309570213210932E-4</v>
      </c>
    </row>
    <row r="22" spans="1:26">
      <c r="A22" t="s">
        <v>64</v>
      </c>
      <c r="B22">
        <f>SUMPRODUCT(fa,G20:Z20)</f>
        <v>0.37916357724459171</v>
      </c>
      <c r="C22">
        <f>SUMPRODUCT(fa,G21:Z21)</f>
        <v>6.4151354343679051E-2</v>
      </c>
      <c r="F22" t="s">
        <v>44</v>
      </c>
      <c r="G22">
        <f>G11*G18+lz*wa*G6/za*(EXP(-za)-(1-EXP(-za))/za)</f>
        <v>-1.3511021676229991E-6</v>
      </c>
      <c r="H22">
        <f>H11*H18+lz*wa*H6/za*(EXP(-za)-(1-EXP(-za))/za)</f>
        <v>-7.2908220852422288E-5</v>
      </c>
      <c r="I22">
        <f t="shared" ref="I22:Z22" si="17">I11*I18+lz*wa*I6/za*(EXP(-za)-(1-EXP(-za))/za)</f>
        <v>-1.5723834448617747E-3</v>
      </c>
      <c r="J22">
        <f t="shared" si="17"/>
        <v>-1.4958618010957206E-2</v>
      </c>
      <c r="K22">
        <f t="shared" si="17"/>
        <v>-4.9967175450824283E-2</v>
      </c>
      <c r="L22">
        <f t="shared" si="17"/>
        <v>-7.9837562757625088E-2</v>
      </c>
      <c r="M22">
        <f t="shared" si="17"/>
        <v>-8.3521769629464782E-2</v>
      </c>
      <c r="N22">
        <f t="shared" si="17"/>
        <v>-6.8433306092444343E-2</v>
      </c>
      <c r="O22">
        <f t="shared" si="17"/>
        <v>-4.8005638308254411E-2</v>
      </c>
      <c r="P22">
        <f t="shared" si="17"/>
        <v>-3.0737353205787746E-2</v>
      </c>
      <c r="Q22">
        <f t="shared" si="17"/>
        <v>-1.8597869559807526E-2</v>
      </c>
      <c r="R22">
        <f t="shared" si="17"/>
        <v>-1.0817934389444351E-2</v>
      </c>
      <c r="S22">
        <f t="shared" si="17"/>
        <v>-6.1090067244360825E-3</v>
      </c>
      <c r="T22">
        <f t="shared" si="17"/>
        <v>-3.3709240260312878E-3</v>
      </c>
      <c r="U22">
        <f t="shared" si="17"/>
        <v>-1.8259510200359498E-3</v>
      </c>
      <c r="V22">
        <f t="shared" si="17"/>
        <v>-9.7430668628097734E-4</v>
      </c>
      <c r="W22">
        <f t="shared" si="17"/>
        <v>-5.1348222427088322E-4</v>
      </c>
      <c r="X22">
        <f t="shared" si="17"/>
        <v>-2.6784527236792493E-4</v>
      </c>
      <c r="Y22">
        <f t="shared" si="17"/>
        <v>-1.3851294505184516E-4</v>
      </c>
      <c r="Z22">
        <f t="shared" si="17"/>
        <v>-1.4320132015623009E-4</v>
      </c>
    </row>
    <row r="23" spans="1:26">
      <c r="A23" t="s">
        <v>41</v>
      </c>
      <c r="B23">
        <f>SUMPRODUCT(lz*G11:Z11)</f>
        <v>0.18542206809774034</v>
      </c>
      <c r="C23">
        <f>SUMPRODUCT(lz*G12:Z12)</f>
        <v>5.9504294198978319E-2</v>
      </c>
      <c r="F23" t="s">
        <v>45</v>
      </c>
      <c r="G23">
        <f t="shared" ref="G23:Z23" si="18">G12*G19+lz*wa*G7/za*(EXP(-za)-(1-EXP(-za))/za)</f>
        <v>-4.6294622145149615E-7</v>
      </c>
      <c r="H23">
        <f t="shared" si="18"/>
        <v>-8.5977872160739734E-6</v>
      </c>
      <c r="I23">
        <f t="shared" si="18"/>
        <v>-6.7258314844845574E-5</v>
      </c>
      <c r="J23">
        <f t="shared" si="18"/>
        <v>-3.4782374006835841E-4</v>
      </c>
      <c r="K23">
        <f t="shared" si="18"/>
        <v>-1.3408226042439292E-3</v>
      </c>
      <c r="L23">
        <f t="shared" si="18"/>
        <v>-4.1644831208397862E-3</v>
      </c>
      <c r="M23">
        <f t="shared" si="18"/>
        <v>-1.0106532159143686E-2</v>
      </c>
      <c r="N23">
        <f t="shared" si="18"/>
        <v>-1.6910781506343009E-2</v>
      </c>
      <c r="O23">
        <f t="shared" si="18"/>
        <v>-1.8489360112883525E-2</v>
      </c>
      <c r="P23">
        <f t="shared" si="18"/>
        <v>-1.509505054081791E-2</v>
      </c>
      <c r="Q23">
        <f t="shared" si="18"/>
        <v>-1.0533620043349963E-2</v>
      </c>
      <c r="R23">
        <f t="shared" si="18"/>
        <v>-6.7258827884079395E-3</v>
      </c>
      <c r="S23">
        <f t="shared" si="18"/>
        <v>-4.0580597355787448E-3</v>
      </c>
      <c r="T23">
        <f t="shared" si="18"/>
        <v>-2.3533007902430559E-3</v>
      </c>
      <c r="U23">
        <f t="shared" si="18"/>
        <v>-1.3251515973265917E-3</v>
      </c>
      <c r="V23">
        <f t="shared" si="18"/>
        <v>-7.2947315519836134E-4</v>
      </c>
      <c r="W23">
        <f t="shared" si="18"/>
        <v>-3.9442262574787882E-4</v>
      </c>
      <c r="X23">
        <f t="shared" si="18"/>
        <v>-2.1019646236210388E-4</v>
      </c>
      <c r="Y23">
        <f t="shared" si="18"/>
        <v>-1.1069624188159793E-4</v>
      </c>
      <c r="Z23">
        <f t="shared" si="18"/>
        <v>-1.176963917316457E-4</v>
      </c>
    </row>
    <row r="24" spans="1:26">
      <c r="A24" t="s">
        <v>43</v>
      </c>
      <c r="B24">
        <f>SUM(G22:Z22)</f>
        <v>-0.41986710039112274</v>
      </c>
      <c r="C24">
        <f>SUM(G23:Z23)</f>
        <v>-9.3089672664450437E-2</v>
      </c>
      <c r="F24" s="4" t="s">
        <v>62</v>
      </c>
      <c r="G24" s="4">
        <f t="shared" ref="G24:Z24" si="19">G20*G11+2*G18*wa*G6^2*sa/za - 2*G18*wa*G6^2*oa/za^2-lz*wa*G6^3*sa/za -2*lz*wa*G6^3*sa/za^2+2*lz*wa*G6^3*oa/za^3</f>
        <v>2.6821365960263372E-13</v>
      </c>
      <c r="H24" s="4">
        <f t="shared" si="19"/>
        <v>2.7046776699178183E-9</v>
      </c>
      <c r="I24" s="4">
        <f t="shared" si="19"/>
        <v>7.6307135048239694E-6</v>
      </c>
      <c r="J24" s="4">
        <f t="shared" si="19"/>
        <v>3.2535327335717068E-3</v>
      </c>
      <c r="K24" s="4">
        <f t="shared" si="19"/>
        <v>4.7896536419774149E-2</v>
      </c>
      <c r="L24" s="4">
        <f t="shared" si="19"/>
        <v>0.11201928533910005</v>
      </c>
      <c r="M24" s="4">
        <f t="shared" si="19"/>
        <v>0.13075878482792214</v>
      </c>
      <c r="N24" s="4">
        <f t="shared" si="19"/>
        <v>0.11225427887452208</v>
      </c>
      <c r="O24" s="4">
        <f t="shared" si="19"/>
        <v>8.0913212185490982E-2</v>
      </c>
      <c r="P24" s="4">
        <f t="shared" si="19"/>
        <v>5.2770698350747255E-2</v>
      </c>
      <c r="Q24" s="4">
        <f t="shared" si="19"/>
        <v>3.2354234391018748E-2</v>
      </c>
      <c r="R24" s="4">
        <f t="shared" si="19"/>
        <v>1.9006290557755514E-2</v>
      </c>
      <c r="S24" s="4">
        <f t="shared" si="19"/>
        <v>1.0815118517258596E-2</v>
      </c>
      <c r="T24" s="4">
        <f t="shared" si="19"/>
        <v>6.003939506489901E-3</v>
      </c>
      <c r="U24" s="4">
        <f t="shared" si="19"/>
        <v>3.2682238184766968E-3</v>
      </c>
      <c r="V24" s="4">
        <f t="shared" si="19"/>
        <v>1.7510080482952503E-3</v>
      </c>
      <c r="W24" s="4">
        <f t="shared" si="19"/>
        <v>9.2599476211197506E-4</v>
      </c>
      <c r="X24" s="4">
        <f t="shared" si="19"/>
        <v>4.8443980722222572E-4</v>
      </c>
      <c r="Y24" s="4">
        <f t="shared" si="19"/>
        <v>2.511571368320585E-4</v>
      </c>
      <c r="Z24" s="4">
        <f t="shared" si="19"/>
        <v>2.8153306857718933E-4</v>
      </c>
    </row>
    <row r="25" spans="1:26">
      <c r="A25" t="s">
        <v>56</v>
      </c>
      <c r="B25">
        <f>SUM(G24:Z24)</f>
        <v>0.61501590176361709</v>
      </c>
      <c r="C25">
        <f>SUM(G25:Z25)</f>
        <v>0.10561386167781094</v>
      </c>
      <c r="F25" s="4" t="s">
        <v>63</v>
      </c>
      <c r="G25" s="4">
        <f t="shared" ref="G25:Z25" si="20">G21*G12+2*G19*wa*G7^2*sa/za - 2*G19*wa*G7^2*oa/za^2-lz*wa*G7^3*sa/za -2*lz*wa*G7^3*sa/za^2+2*lz*wa*G7^3*oa/za^3</f>
        <v>1.0789664753751024E-14</v>
      </c>
      <c r="H25" s="4">
        <f t="shared" si="20"/>
        <v>6.7037484417897258E-12</v>
      </c>
      <c r="I25" s="4">
        <f t="shared" si="20"/>
        <v>9.9627933308531121E-10</v>
      </c>
      <c r="J25" s="4">
        <f t="shared" si="20"/>
        <v>8.9279109423762603E-8</v>
      </c>
      <c r="K25" s="4">
        <f t="shared" si="20"/>
        <v>5.4789216992315494E-6</v>
      </c>
      <c r="L25" s="4">
        <f t="shared" si="20"/>
        <v>2.1032071075924178E-4</v>
      </c>
      <c r="M25" s="4">
        <f t="shared" si="20"/>
        <v>3.2577999171205449E-3</v>
      </c>
      <c r="N25" s="4">
        <f t="shared" si="20"/>
        <v>1.423591464491402E-2</v>
      </c>
      <c r="O25" s="4">
        <f t="shared" si="20"/>
        <v>2.2918508741264533E-2</v>
      </c>
      <c r="P25" s="4">
        <f t="shared" si="20"/>
        <v>2.1859275399896901E-2</v>
      </c>
      <c r="Q25" s="4">
        <f t="shared" si="20"/>
        <v>1.6414783895545553E-2</v>
      </c>
      <c r="R25" s="4">
        <f t="shared" si="20"/>
        <v>1.0920332690341697E-2</v>
      </c>
      <c r="S25" s="4">
        <f t="shared" si="20"/>
        <v>6.7630028518707239E-3</v>
      </c>
      <c r="T25" s="4">
        <f t="shared" si="20"/>
        <v>3.9934997144097893E-3</v>
      </c>
      <c r="U25" s="4">
        <f t="shared" si="20"/>
        <v>2.2788502372354507E-3</v>
      </c>
      <c r="V25" s="4">
        <f t="shared" si="20"/>
        <v>1.2673202851302611E-3</v>
      </c>
      <c r="W25" s="4">
        <f t="shared" si="20"/>
        <v>6.9078358413859507E-4</v>
      </c>
      <c r="X25" s="4">
        <f t="shared" si="20"/>
        <v>3.7055030241484944E-4</v>
      </c>
      <c r="Y25" s="4">
        <f t="shared" si="20"/>
        <v>1.9620318067193693E-4</v>
      </c>
      <c r="Z25" s="4">
        <f t="shared" si="20"/>
        <v>2.3114631829430197E-4</v>
      </c>
    </row>
    <row r="26" spans="1:26">
      <c r="A26" t="s">
        <v>46</v>
      </c>
      <c r="B26">
        <f>ro/(reck-1)*phie/phif^2*dphif</f>
        <v>-0.49988254293678641</v>
      </c>
      <c r="C26">
        <f>ro/(reck-1)*phie/phif^2*dphif</f>
        <v>-0.11765723617159216</v>
      </c>
      <c r="G26">
        <f>G20*G11+2*G18*wa*G6^2*sa/za-2*G18*wa*G6^2*oa/za^2-lz*wa*G6^3*sa/za-2*lz*wa*G6^3*sa/za^2+2*lz*wa*G6^3*oa/za^3</f>
        <v>2.6821365960263372E-13</v>
      </c>
    </row>
    <row r="27" spans="1:26">
      <c r="A27" t="s">
        <v>57</v>
      </c>
      <c r="B27">
        <f>-2*ro*phie*dphif^2/(phif^3*(reck-1)) + ro*phie*ddphif/(phif^2*(reck-1))</f>
        <v>-1.7594059398940818</v>
      </c>
      <c r="C27">
        <f>-2*ro*phie*dphif^2/(phif^3*(reck-1)) + ro*phie*ddphif/(phif^2*(reck-1))</f>
        <v>-5.0487019469238073E-2</v>
      </c>
      <c r="G27">
        <f t="shared" ref="G27:Z27" si="21">(G15-2*G14+G16)/dh^2</f>
        <v>0</v>
      </c>
      <c r="H27">
        <f t="shared" si="21"/>
        <v>1.1102230246251565E-4</v>
      </c>
      <c r="I27">
        <f t="shared" si="21"/>
        <v>1.1102230246251565E-4</v>
      </c>
      <c r="J27">
        <f t="shared" si="21"/>
        <v>2.7755575615628914E-3</v>
      </c>
      <c r="K27">
        <f t="shared" si="21"/>
        <v>8.9594998087250133E-2</v>
      </c>
      <c r="L27">
        <f t="shared" si="21"/>
        <v>0.35701996914383471</v>
      </c>
      <c r="M27">
        <f t="shared" si="21"/>
        <v>0.55934423759396168</v>
      </c>
      <c r="N27">
        <f t="shared" si="21"/>
        <v>0.58197197061460315</v>
      </c>
      <c r="O27">
        <f t="shared" si="21"/>
        <v>0.47722242824121963</v>
      </c>
      <c r="P27">
        <f t="shared" si="21"/>
        <v>0.34288891170852764</v>
      </c>
      <c r="Q27">
        <f t="shared" si="21"/>
        <v>0.22827659901247799</v>
      </c>
      <c r="R27">
        <f t="shared" si="21"/>
        <v>0.1445345579331736</v>
      </c>
      <c r="S27">
        <f t="shared" si="21"/>
        <v>8.8239311690774258E-2</v>
      </c>
      <c r="T27">
        <f t="shared" si="21"/>
        <v>5.2382902702985401E-2</v>
      </c>
      <c r="U27">
        <f t="shared" si="21"/>
        <v>3.0410515685502792E-2</v>
      </c>
      <c r="V27">
        <f t="shared" si="21"/>
        <v>1.7335633796522476E-2</v>
      </c>
      <c r="W27">
        <f t="shared" si="21"/>
        <v>9.7333572408528357E-3</v>
      </c>
      <c r="X27">
        <f t="shared" si="21"/>
        <v>5.3952068507223672E-3</v>
      </c>
      <c r="Y27">
        <f t="shared" si="21"/>
        <v>2.9578373577461223E-3</v>
      </c>
      <c r="Z27">
        <f t="shared" si="21"/>
        <v>3.4507986745868635E-3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3.5433152126493957E-2</v>
      </c>
      <c r="C29">
        <f>f*re*phiq</f>
        <v>1.1370948076259458E-2</v>
      </c>
      <c r="F29">
        <v>0</v>
      </c>
      <c r="G29">
        <f>B29</f>
        <v>3.5433152126493957E-2</v>
      </c>
      <c r="H29">
        <f>B30</f>
        <v>5.8809589317839361E-2</v>
      </c>
    </row>
    <row r="30" spans="1:26">
      <c r="A30" t="s">
        <v>53</v>
      </c>
      <c r="B30">
        <f>re*phiq+f*phiq*dre+f*re*dphiq</f>
        <v>5.8809589317839361E-2</v>
      </c>
      <c r="C30">
        <f>re*phiq+f*phiq*dre+f*re*dphiq</f>
        <v>3.188086337118063E-2</v>
      </c>
      <c r="F30">
        <v>0.2</v>
      </c>
      <c r="G30">
        <f t="dataTable" ref="G30:H56" dt2D="0" dtr="0" r1="B6"/>
        <v>3.396599399742567E-2</v>
      </c>
      <c r="H30">
        <v>7.1383047929654275E-2</v>
      </c>
      <c r="Z30" s="4">
        <f>Y30*EXP(-Y$8)/oa+Y$14*(Y16)^2*Y$9/oa + 2*Y$14*Y16*Y$9*Z16*sa/oa^2 + 2*Y$14*Y$9*Z16^2*sa/oa^3 + Y$14*Y$9*Z16^2*sa/oa^2</f>
        <v>1.5666197587887692E-14</v>
      </c>
    </row>
    <row r="31" spans="1:26">
      <c r="A31" t="s">
        <v>106</v>
      </c>
      <c r="B31">
        <f>ak*SUM(dYe)</f>
        <v>3.6276181075607997E-2</v>
      </c>
      <c r="C31">
        <f>ak*SUM(dYe)</f>
        <v>5.4414271613411988E-2</v>
      </c>
      <c r="F31">
        <v>0.20499999999999999</v>
      </c>
      <c r="G31">
        <v>3.4323950787470199E-2</v>
      </c>
      <c r="H31">
        <v>6.8379210345511768E-2</v>
      </c>
    </row>
    <row r="32" spans="1:26">
      <c r="A32" t="s">
        <v>52</v>
      </c>
      <c r="B32">
        <f>ak*SUM(B40,C41)</f>
        <v>-0.3679459522508764</v>
      </c>
      <c r="C32">
        <f>ak*SUM(C40,B41)</f>
        <v>0.12626113601811328</v>
      </c>
      <c r="F32">
        <v>0.21</v>
      </c>
      <c r="G32">
        <v>3.4667272742697236E-2</v>
      </c>
      <c r="H32">
        <v>6.5462682818601667E-2</v>
      </c>
    </row>
    <row r="33" spans="1:8">
      <c r="B33">
        <f>ak*SUM(B41,C40)</f>
        <v>8.4174090678742208E-2</v>
      </c>
      <c r="C33">
        <f>ak*SUM(B40,C41)</f>
        <v>-0.55191892837631451</v>
      </c>
      <c r="F33">
        <v>0.215</v>
      </c>
      <c r="G33">
        <v>3.4996386723931183E-2</v>
      </c>
      <c r="H33">
        <v>6.2630471888328279E-2</v>
      </c>
    </row>
    <row r="34" spans="1:8">
      <c r="A34" t="s">
        <v>107</v>
      </c>
      <c r="B34">
        <f t="array" ref="B34:C35">-MINVERSE(B32:C33)</f>
        <v>2.8678797686572683</v>
      </c>
      <c r="C34">
        <v>0.65607780225855761</v>
      </c>
      <c r="F34">
        <v>0.22</v>
      </c>
      <c r="G34">
        <v>3.5311704929879839E-2</v>
      </c>
      <c r="H34">
        <v>5.9879701928461246E-2</v>
      </c>
    </row>
    <row r="35" spans="1:8">
      <c r="B35">
        <v>0.43738520150570515</v>
      </c>
      <c r="C35">
        <v>1.9119198457715127</v>
      </c>
      <c r="F35">
        <v>0.22500000000000001</v>
      </c>
      <c r="G35">
        <v>3.5613625472981032E-2</v>
      </c>
      <c r="H35">
        <v>5.7207609873364235E-2</v>
      </c>
    </row>
    <row r="36" spans="1:8">
      <c r="A36" t="s">
        <v>108</v>
      </c>
      <c r="B36">
        <f t="array" ref="B36:C36">MMULT(B31:C31,B34:C35)</f>
        <v>0.12783572294530221</v>
      </c>
      <c r="C36">
        <v>0.12783572294530224</v>
      </c>
      <c r="F36">
        <v>0.23</v>
      </c>
      <c r="G36">
        <v>3.5902532929549182E-2</v>
      </c>
      <c r="H36">
        <v>5.46115402095253E-2</v>
      </c>
    </row>
    <row r="37" spans="1:8">
      <c r="A37" t="s">
        <v>13</v>
      </c>
      <c r="B37" s="7">
        <f>f+fstp</f>
        <v>0.34982076965770192</v>
      </c>
      <c r="C37" s="7">
        <f>f+fstp</f>
        <v>0.34982076965770192</v>
      </c>
      <c r="F37">
        <v>0.23499999999999999</v>
      </c>
      <c r="G37">
        <v>3.6178798865511438E-2</v>
      </c>
      <c r="H37">
        <v>5.2088940217553781E-2</v>
      </c>
    </row>
    <row r="38" spans="1:8">
      <c r="F38">
        <v>0.24</v>
      </c>
      <c r="G38">
        <v>3.6442782338949993E-2</v>
      </c>
      <c r="H38">
        <v>4.9637355450713225E-2</v>
      </c>
    </row>
    <row r="39" spans="1:8">
      <c r="F39">
        <v>0.245</v>
      </c>
      <c r="G39">
        <v>3.6694830380600771E-2</v>
      </c>
      <c r="H39">
        <v>4.7254425436918768E-2</v>
      </c>
    </row>
    <row r="40" spans="1:8">
      <c r="A40" t="s">
        <v>9</v>
      </c>
      <c r="B40">
        <f>2*dre*phiq+2*re*dphiq+f*ddre*phiq+2*f*dre*dphiq+f*re*ddphiq</f>
        <v>-0.76996922606580975</v>
      </c>
      <c r="C40">
        <f>f*B27*phiq+2*f*B26*B24+f*re*B25</f>
        <v>0.18746842318667006</v>
      </c>
      <c r="F40">
        <v>0.25</v>
      </c>
      <c r="G40">
        <v>3.6935278453394414E-2</v>
      </c>
      <c r="H40">
        <v>4.4937879591918667E-2</v>
      </c>
    </row>
    <row r="41" spans="1:8">
      <c r="B41">
        <f>f*C27*phiq+2*f*C26*C24+f*re*C25</f>
        <v>2.2966803510185419E-2</v>
      </c>
      <c r="C41">
        <f>2*dre*phiq+2*re*dphiq+f*ddre*phiq+2*f*dre*dphiq+f*re*ddphiq</f>
        <v>-0.14989565456138115</v>
      </c>
      <c r="F41">
        <v>0.255</v>
      </c>
      <c r="G41">
        <v>3.7164450892066443E-2</v>
      </c>
      <c r="H41">
        <v>4.268553333212545E-2</v>
      </c>
    </row>
    <row r="42" spans="1:8">
      <c r="A42" t="s">
        <v>10</v>
      </c>
      <c r="B42">
        <f t="array" ref="B42:C43">-MINVERSE(B40:C41)</f>
        <v>1.3490805657168443</v>
      </c>
      <c r="C42">
        <v>1.6872404149858315</v>
      </c>
      <c r="F42">
        <v>0.26</v>
      </c>
      <c r="G42">
        <v>3.7382661323807589E-2</v>
      </c>
      <c r="H42">
        <v>4.049528437625427E-2</v>
      </c>
    </row>
    <row r="43" spans="1:8">
      <c r="B43">
        <v>0.20670424611635957</v>
      </c>
      <c r="C43">
        <v>6.9298240974695009</v>
      </c>
      <c r="F43">
        <v>0.26500000000000001</v>
      </c>
      <c r="G43">
        <v>3.7590213070872514E-2</v>
      </c>
      <c r="H43">
        <v>3.8365109225574859E-2</v>
      </c>
    </row>
    <row r="44" spans="1:8">
      <c r="F44">
        <v>0.27</v>
      </c>
      <c r="G44">
        <v>3.7787399536015807E-2</v>
      </c>
      <c r="H44">
        <v>3.6293059813189837E-2</v>
      </c>
    </row>
    <row r="45" spans="1:8">
      <c r="A45" t="s">
        <v>65</v>
      </c>
      <c r="B45">
        <f t="array" ref="B45:C45">MMULT(B30:C30,B42:C43)</f>
        <v>8.5928783855164559E-2</v>
      </c>
      <c r="C45">
        <v>0.32015469112351791</v>
      </c>
      <c r="F45">
        <v>0.27500000000000002</v>
      </c>
      <c r="G45">
        <v>3.7974504571577639E-2</v>
      </c>
      <c r="H45">
        <v>3.4277260313317195E-2</v>
      </c>
    </row>
    <row r="46" spans="1:8">
      <c r="A46" s="5" t="s">
        <v>54</v>
      </c>
      <c r="B46" s="5">
        <f>f+dta</f>
        <v>0.30791383056756427</v>
      </c>
      <c r="C46" s="5">
        <f>f+dta</f>
        <v>0.54213973783591762</v>
      </c>
      <c r="F46">
        <v>0.28000000000000003</v>
      </c>
      <c r="G46">
        <v>3.8151802832997433E-2</v>
      </c>
      <c r="H46">
        <v>3.231590410208561E-2</v>
      </c>
    </row>
    <row r="47" spans="1:8">
      <c r="F47">
        <v>0.28499999999999998</v>
      </c>
      <c r="G47">
        <v>3.8319560117493628E-2</v>
      </c>
      <c r="H47">
        <v>3.0407250861850033E-2</v>
      </c>
    </row>
    <row r="48" spans="1:8">
      <c r="F48">
        <v>0.28999999999999998</v>
      </c>
      <c r="G48">
        <v>3.8478033688606916E-2</v>
      </c>
      <c r="H48">
        <v>2.8549623821491871E-2</v>
      </c>
    </row>
    <row r="49" spans="6:8">
      <c r="F49">
        <v>0.29499999999999998</v>
      </c>
      <c r="G49">
        <v>3.8627472587270451E-2</v>
      </c>
      <c r="H49">
        <v>2.6741407125614014E-2</v>
      </c>
    </row>
    <row r="50" spans="6:8">
      <c r="F50">
        <v>0.29999999999999899</v>
      </c>
      <c r="G50">
        <v>3.8768117930033361E-2</v>
      </c>
      <c r="H50">
        <v>2.4981043325937619E-2</v>
      </c>
    </row>
    <row r="51" spans="6:8">
      <c r="F51">
        <v>0.30499999999999999</v>
      </c>
      <c r="G51">
        <v>3.890020319503365E-2</v>
      </c>
      <c r="H51">
        <v>2.3267030988595186E-2</v>
      </c>
    </row>
    <row r="52" spans="6:8">
      <c r="F52">
        <v>0.309999999999999</v>
      </c>
      <c r="G52">
        <v>3.9023954496283736E-2</v>
      </c>
      <c r="H52">
        <v>2.1597922411378256E-2</v>
      </c>
    </row>
    <row r="53" spans="6:8">
      <c r="F53">
        <v>0.314999999999999</v>
      </c>
      <c r="G53">
        <v>3.9139590846805981E-2</v>
      </c>
      <c r="H53">
        <v>1.9972321445313468E-2</v>
      </c>
    </row>
    <row r="54" spans="6:8">
      <c r="F54">
        <v>0.31999999999999901</v>
      </c>
      <c r="G54">
        <v>3.9247324411124863E-2</v>
      </c>
      <c r="H54">
        <v>1.8388881415288605E-2</v>
      </c>
    </row>
    <row r="55" spans="6:8">
      <c r="F55">
        <v>0.32499999999999901</v>
      </c>
      <c r="G55">
        <v>3.9347360747599217E-2</v>
      </c>
      <c r="H55">
        <v>1.6846303134711638E-2</v>
      </c>
    </row>
    <row r="56" spans="6:8">
      <c r="F56">
        <v>0.32999999999999902</v>
      </c>
      <c r="G56">
        <v>3.943989904105287E-2</v>
      </c>
      <c r="H56">
        <v>1.5343333009489327E-2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zoomScale="125" zoomScaleNormal="125" zoomScalePageLayoutView="125" workbookViewId="0">
      <selection activeCell="D48" sqref="D48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0.2406542626817135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0.15041668793767735</v>
      </c>
      <c r="C13">
        <f>fbar*C12</f>
        <v>0.23010094440367487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0.69826098198545472</v>
      </c>
      <c r="I15">
        <f t="shared" si="12"/>
        <v>0.47558179975962273</v>
      </c>
      <c r="J15">
        <f t="shared" si="12"/>
        <v>0.31403439169594038</v>
      </c>
      <c r="K15">
        <f t="shared" si="12"/>
        <v>0.20021298266431431</v>
      </c>
      <c r="L15">
        <f t="shared" si="12"/>
        <v>0.12316112979027531</v>
      </c>
      <c r="M15">
        <f t="shared" si="12"/>
        <v>7.3306977315344218E-2</v>
      </c>
      <c r="N15">
        <f t="shared" si="12"/>
        <v>4.2432009144946999E-2</v>
      </c>
      <c r="O15">
        <f t="shared" si="12"/>
        <v>2.4018894201588266E-2</v>
      </c>
      <c r="P15">
        <f t="shared" si="12"/>
        <v>1.3363576524415293E-2</v>
      </c>
      <c r="Q15">
        <f t="shared" si="12"/>
        <v>7.3381405177668935E-3</v>
      </c>
      <c r="R15">
        <f t="shared" si="12"/>
        <v>3.9894961427511108E-3</v>
      </c>
      <c r="S15">
        <f t="shared" si="12"/>
        <v>2.1525889388133487E-3</v>
      </c>
      <c r="T15">
        <f t="shared" si="12"/>
        <v>1.1547939545046859E-3</v>
      </c>
      <c r="U15">
        <f t="shared" si="12"/>
        <v>6.168056024502454E-4</v>
      </c>
      <c r="V15">
        <f t="shared" si="12"/>
        <v>3.2835995862759231E-4</v>
      </c>
      <c r="W15">
        <f t="shared" si="12"/>
        <v>1.7436507406295052E-4</v>
      </c>
      <c r="X15">
        <f t="shared" si="12"/>
        <v>9.2415023540416322E-5</v>
      </c>
      <c r="Y15">
        <f t="shared" si="12"/>
        <v>4.8910490769615902E-5</v>
      </c>
      <c r="Z15">
        <f>Y15*EXP(-m-SUMPRODUCT(Y$6:Y$7,$C$6:$C$7))/(1-EXP(-m-SUMPRODUCT(C$6:C$7,Z6:Z7)))</f>
        <v>5.481196605646795E-5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-1814.8467343203411</v>
      </c>
      <c r="I17" s="3">
        <f t="shared" si="14"/>
        <v>-3117.2150710483011</v>
      </c>
      <c r="J17" s="3">
        <f t="shared" si="14"/>
        <v>-3883.2848776033488</v>
      </c>
      <c r="K17" s="3">
        <f t="shared" si="14"/>
        <v>-4114.9102457724348</v>
      </c>
      <c r="L17" s="3">
        <f t="shared" si="14"/>
        <v>-3889.8049901494851</v>
      </c>
      <c r="M17" s="3">
        <f t="shared" si="14"/>
        <v>-3359.906901891954</v>
      </c>
      <c r="N17" s="3">
        <f t="shared" si="14"/>
        <v>-2698.9234805662445</v>
      </c>
      <c r="O17" s="3">
        <f t="shared" si="14"/>
        <v>-2046.0167815883945</v>
      </c>
      <c r="P17" s="3">
        <f t="shared" si="14"/>
        <v>-1481.8751211498161</v>
      </c>
      <c r="Q17" s="3">
        <f t="shared" si="14"/>
        <v>-1035.5961342244932</v>
      </c>
      <c r="R17" s="3">
        <f t="shared" si="14"/>
        <v>-703.74529714920584</v>
      </c>
      <c r="S17" s="3">
        <f t="shared" si="14"/>
        <v>-467.84238921501617</v>
      </c>
      <c r="T17" s="3">
        <f t="shared" si="14"/>
        <v>-305.67634741760935</v>
      </c>
      <c r="U17" s="3">
        <f t="shared" si="14"/>
        <v>-196.9995694941442</v>
      </c>
      <c r="V17" s="3">
        <f t="shared" si="14"/>
        <v>-125.58097212342756</v>
      </c>
      <c r="W17" s="3">
        <f t="shared" si="14"/>
        <v>-79.356800529583637</v>
      </c>
      <c r="X17" s="3">
        <f t="shared" si="14"/>
        <v>-49.795198792258411</v>
      </c>
      <c r="Y17" s="3">
        <f>(Y15-Y14)/dh</f>
        <v>-31.068252027807894</v>
      </c>
      <c r="Z17" s="3">
        <f t="shared" si="14"/>
        <v>-50.335186041158501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-3106315.1349920747</v>
      </c>
      <c r="Z27">
        <f>(Z15-2*Z14+Z16)/dh^2</f>
        <v>-5032584.5213952344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 Mar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2015-07-23T19:26:10Z</dcterms:modified>
</cp:coreProperties>
</file>